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HRTGB - ESTATÍSTICA DO ESTADO\Estatísticas do Estado 2025\"/>
    </mc:Choice>
  </mc:AlternateContent>
  <xr:revisionPtr revIDLastSave="0" documentId="13_ncr:1_{52B2423C-EB4A-4B89-9617-4257E327A1F0}" xr6:coauthVersionLast="47" xr6:coauthVersionMax="47" xr10:uidLastSave="{00000000-0000-0000-0000-000000000000}"/>
  <bookViews>
    <workbookView xWindow="-120" yWindow="-120" windowWidth="29040" windowHeight="15840" tabRatio="942" activeTab="3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Recursos Humanos" sheetId="15" r:id="rId9"/>
    <sheet name="Qualidade PSU" sheetId="16" r:id="rId10"/>
    <sheet name="Fármacia" sheetId="7" r:id="rId11"/>
    <sheet name="Materiais" sheetId="14" r:id="rId12"/>
    <sheet name="Financeiro" sheetId="5" r:id="rId13"/>
  </sheets>
  <definedNames>
    <definedName name="_xlnm._FilterDatabase" localSheetId="6" hidden="1">'Atividade Cirúrgica'!$A$157:$C$221</definedName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Cirúrgica'!$A$1:$D$228</definedName>
    <definedName name="_xlnm.Print_Area" localSheetId="1">Leitos!$A$1:$F$44</definedName>
    <definedName name="_xlnm.Print_Area" localSheetId="11">Materiais!$A$1:$F$38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D23" i="18" l="1"/>
  <c r="B8" i="15"/>
  <c r="B52" i="15"/>
  <c r="B38" i="15"/>
  <c r="B29" i="15"/>
  <c r="B19" i="15"/>
  <c r="B33" i="8" l="1"/>
  <c r="D12" i="18"/>
  <c r="D30" i="18"/>
  <c r="D25" i="18"/>
  <c r="D24" i="18"/>
  <c r="D21" i="18"/>
  <c r="D20" i="18"/>
  <c r="D15" i="18"/>
  <c r="D11" i="18"/>
  <c r="D10" i="18"/>
  <c r="I12" i="20"/>
  <c r="H12" i="20"/>
  <c r="H8" i="20"/>
  <c r="B11" i="20"/>
  <c r="B13" i="20"/>
  <c r="B10" i="20"/>
  <c r="B9" i="20"/>
  <c r="B8" i="20"/>
  <c r="B12" i="20"/>
  <c r="C221" i="17"/>
  <c r="H17" i="16"/>
  <c r="H18" i="16"/>
  <c r="H19" i="16"/>
  <c r="H16" i="16"/>
  <c r="B51" i="5"/>
  <c r="B45" i="5" l="1"/>
  <c r="B40" i="5"/>
  <c r="B39" i="5"/>
  <c r="B36" i="5"/>
  <c r="B35" i="5"/>
  <c r="B34" i="5"/>
  <c r="B31" i="5"/>
  <c r="B28" i="5"/>
  <c r="B18" i="5"/>
  <c r="E60" i="18"/>
  <c r="B64" i="5" l="1"/>
  <c r="B44" i="5"/>
  <c r="B21" i="5"/>
  <c r="B4" i="19" l="1"/>
  <c r="B51" i="8" l="1"/>
  <c r="D51" i="8"/>
  <c r="C154" i="17"/>
  <c r="C10" i="17"/>
  <c r="B126" i="5"/>
  <c r="B125" i="5"/>
  <c r="B124" i="5"/>
  <c r="B123" i="5"/>
  <c r="B127" i="5" s="1"/>
  <c r="B106" i="5"/>
  <c r="E51" i="18" l="1"/>
  <c r="E72" i="18" l="1"/>
  <c r="B57" i="5" l="1"/>
  <c r="E26" i="18" l="1"/>
  <c r="F20" i="16" l="1"/>
  <c r="E59" i="18" l="1"/>
  <c r="B68" i="18" l="1"/>
  <c r="B14" i="5" l="1"/>
  <c r="B118" i="5" l="1"/>
  <c r="B108" i="5"/>
  <c r="B100" i="5"/>
  <c r="B91" i="5"/>
  <c r="B79" i="5"/>
  <c r="B73" i="5"/>
  <c r="B69" i="5"/>
  <c r="B53" i="5"/>
  <c r="B38" i="5"/>
  <c r="B27" i="5"/>
  <c r="B26" i="5"/>
  <c r="A24" i="5"/>
  <c r="A5" i="5"/>
  <c r="B103" i="5" s="1"/>
  <c r="A3" i="5"/>
  <c r="B3" i="14"/>
  <c r="B4" i="7"/>
  <c r="B3" i="7"/>
  <c r="G72" i="15"/>
  <c r="F72" i="15"/>
  <c r="E72" i="15"/>
  <c r="L26" i="15"/>
  <c r="K26" i="15"/>
  <c r="J26" i="15"/>
  <c r="B3" i="15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C51" i="8"/>
  <c r="H32" i="8"/>
  <c r="F32" i="8"/>
  <c r="E32" i="8"/>
  <c r="G30" i="8"/>
  <c r="G29" i="8"/>
  <c r="G28" i="8"/>
  <c r="G27" i="8"/>
  <c r="G26" i="8"/>
  <c r="D20" i="8"/>
  <c r="C20" i="8"/>
  <c r="B20" i="8"/>
  <c r="B4" i="8"/>
  <c r="B3" i="8"/>
  <c r="C227" i="17"/>
  <c r="C16" i="17"/>
  <c r="C22" i="17" s="1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10" i="21"/>
  <c r="D9" i="21"/>
  <c r="D8" i="21"/>
  <c r="D78" i="18"/>
  <c r="C78" i="18"/>
  <c r="B78" i="18"/>
  <c r="E77" i="18"/>
  <c r="E78" i="18" s="1"/>
  <c r="D73" i="18"/>
  <c r="C73" i="18"/>
  <c r="B73" i="18"/>
  <c r="E73" i="18"/>
  <c r="E71" i="18"/>
  <c r="E76" i="18" s="1"/>
  <c r="D71" i="18"/>
  <c r="D76" i="18" s="1"/>
  <c r="C71" i="18"/>
  <c r="C76" i="18" s="1"/>
  <c r="B71" i="18"/>
  <c r="B76" i="18" s="1"/>
  <c r="D68" i="18"/>
  <c r="C68" i="18"/>
  <c r="E67" i="18"/>
  <c r="E66" i="18"/>
  <c r="E65" i="18"/>
  <c r="E64" i="18"/>
  <c r="E63" i="18"/>
  <c r="E62" i="18"/>
  <c r="E61" i="18"/>
  <c r="E58" i="18"/>
  <c r="E57" i="18"/>
  <c r="E56" i="18"/>
  <c r="E55" i="18"/>
  <c r="E54" i="18"/>
  <c r="E53" i="18"/>
  <c r="E52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F13" i="20"/>
  <c r="E36" i="20" s="1"/>
  <c r="F12" i="20"/>
  <c r="E35" i="20" s="1"/>
  <c r="F11" i="20"/>
  <c r="E34" i="20" s="1"/>
  <c r="F10" i="20"/>
  <c r="B33" i="20" s="1"/>
  <c r="E32" i="20"/>
  <c r="F8" i="20"/>
  <c r="E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H20" i="16" l="1"/>
  <c r="B9" i="15"/>
  <c r="E31" i="18"/>
  <c r="B28" i="8"/>
  <c r="D38" i="20"/>
  <c r="B110" i="5"/>
  <c r="B22" i="5"/>
  <c r="F38" i="20"/>
  <c r="B27" i="20"/>
  <c r="B34" i="20"/>
  <c r="B35" i="20"/>
  <c r="B36" i="20"/>
  <c r="B37" i="20"/>
  <c r="B63" i="5"/>
  <c r="B76" i="5" s="1"/>
  <c r="D45" i="18"/>
  <c r="B31" i="20"/>
  <c r="B32" i="20"/>
  <c r="D37" i="18"/>
  <c r="G32" i="8"/>
  <c r="I26" i="8"/>
  <c r="C21" i="17"/>
  <c r="I27" i="8"/>
  <c r="F15" i="20"/>
  <c r="B29" i="8" s="1"/>
  <c r="B37" i="8" s="1"/>
  <c r="E33" i="20"/>
  <c r="E37" i="20"/>
  <c r="I28" i="8"/>
  <c r="I29" i="8"/>
  <c r="I30" i="8"/>
  <c r="E68" i="18"/>
  <c r="F30" i="21"/>
  <c r="D16" i="21"/>
  <c r="B7" i="5"/>
  <c r="B87" i="5"/>
  <c r="C43" i="22"/>
  <c r="B20" i="16"/>
  <c r="G20" i="16"/>
  <c r="J20" i="16" s="1"/>
  <c r="I16" i="16"/>
  <c r="I17" i="16"/>
  <c r="I18" i="16"/>
  <c r="I19" i="16"/>
  <c r="J16" i="16"/>
  <c r="I32" i="8" l="1"/>
  <c r="E38" i="20"/>
  <c r="I20" i="16"/>
  <c r="B77" i="5"/>
  <c r="B38" i="20"/>
  <c r="C37" i="20" s="1"/>
  <c r="C8" i="8"/>
  <c r="B94" i="5"/>
  <c r="B121" i="5"/>
  <c r="B113" i="5"/>
  <c r="B24" i="5"/>
  <c r="D12" i="8" l="1"/>
  <c r="C38" i="20"/>
  <c r="C32" i="20"/>
  <c r="C33" i="20"/>
  <c r="C35" i="20"/>
  <c r="C34" i="20"/>
  <c r="C31" i="20"/>
  <c r="C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<sst xmlns="http://schemas.openxmlformats.org/spreadsheetml/2006/main" count="1051" uniqueCount="797">
  <si>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</si>
  <si>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</si>
  <si>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</si>
  <si>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</si>
  <si>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</si>
  <si>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</si>
  <si>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</si>
  <si>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</si>
  <si>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</si>
  <si>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</si>
  <si>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</si>
  <si>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</si>
  <si>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</si>
  <si>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</si>
  <si>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</si>
  <si>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</si>
  <si>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</si>
  <si>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</si>
  <si>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</si>
  <si>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</si>
  <si>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</si>
  <si>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</si>
  <si>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</si>
  <si>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</si>
  <si>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</si>
  <si>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</si>
  <si>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</si>
  <si>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</si>
  <si>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</si>
  <si>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</si>
  <si>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</si>
  <si>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</si>
  <si>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</si>
  <si>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</si>
  <si>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</si>
  <si>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</si>
  <si>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</si>
  <si>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</si>
  <si>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</si>
  <si>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</si>
  <si>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</si>
  <si>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</si>
  <si>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</si>
  <si>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</si>
  <si>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</si>
  <si>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</si>
  <si>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</si>
  <si>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</si>
  <si>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</si>
  <si>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</si>
  <si>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</si>
  <si>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</si>
  <si>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</si>
  <si>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</si>
  <si>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</si>
  <si>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</si>
  <si>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</si>
  <si>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</si>
  <si>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</si>
  <si>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</si>
  <si>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</si>
  <si>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</si>
  <si>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</si>
  <si>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</si>
  <si>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</si>
  <si>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</si>
  <si>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</si>
  <si>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</si>
  <si>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</si>
  <si>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</si>
  <si>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</si>
  <si>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</si>
  <si>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</si>
  <si>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</si>
  <si>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</si>
  <si>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</si>
  <si>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</si>
  <si>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</si>
  <si>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</si>
  <si>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</si>
  <si>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</si>
  <si>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</si>
  <si>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</si>
  <si>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</si>
  <si>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</si>
  <si>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</si>
  <si>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</si>
  <si>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</si>
  <si>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</si>
  <si>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</si>
  <si>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</si>
  <si>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</si>
  <si>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</si>
  <si>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</si>
  <si>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</si>
  <si>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</si>
  <si>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</si>
  <si>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</si>
  <si>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</si>
  <si>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</si>
  <si>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</si>
  <si>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</si>
  <si>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</si>
  <si>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</si>
  <si>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</si>
  <si>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</si>
  <si>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</si>
  <si>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</si>
  <si>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</si>
  <si>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</si>
  <si>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</si>
  <si>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</si>
  <si>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</si>
  <si>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</si>
  <si>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</si>
  <si>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</si>
  <si>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</si>
  <si>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</si>
  <si>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</si>
  <si>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</si>
  <si>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</si>
  <si>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</si>
  <si>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</si>
  <si>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</si>
  <si>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</si>
  <si>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</si>
  <si>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</si>
  <si>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</si>
  <si>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</si>
  <si>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</si>
  <si>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</si>
  <si>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</si>
  <si>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</si>
  <si>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</si>
  <si>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</si>
  <si>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</si>
  <si>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</si>
  <si>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</si>
  <si>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</si>
  <si>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</si>
  <si>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</si>
  <si>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</si>
  <si>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</si>
  <si>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</si>
  <si>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</si>
  <si>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</si>
  <si>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</si>
  <si>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</si>
  <si>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</si>
  <si>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</si>
  <si>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</si>
  <si>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</si>
  <si>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</si>
  <si>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</si>
  <si>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</si>
  <si>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</si>
  <si>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</si>
  <si>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</si>
  <si>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</si>
  <si>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</si>
  <si>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</si>
  <si>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</si>
  <si>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</si>
  <si>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</si>
  <si>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</si>
  <si>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</si>
  <si>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</si>
  <si>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</si>
  <si>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</si>
  <si>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</si>
  <si>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</si>
  <si>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</si>
  <si>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</si>
  <si>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</si>
  <si>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</si>
  <si>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</si>
  <si>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</si>
  <si>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</si>
  <si>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</si>
  <si>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</si>
  <si>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</si>
  <si>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</si>
  <si>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</si>
  <si>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</si>
  <si>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</si>
  <si>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</si>
  <si>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</si>
  <si>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</si>
  <si>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</si>
  <si>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</si>
  <si>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</si>
  <si>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</si>
  <si>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</si>
  <si>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</si>
  <si>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</si>
  <si>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</si>
  <si>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</si>
  <si>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</si>
  <si>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</si>
  <si>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</si>
  <si>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</si>
  <si>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</si>
  <si>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</si>
  <si>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</si>
  <si>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</si>
  <si>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</si>
  <si>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</si>
  <si>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</si>
  <si>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</si>
  <si>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</si>
  <si>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</si>
  <si>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</si>
  <si>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</si>
  <si>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</si>
  <si>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</si>
  <si>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</si>
  <si>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</si>
  <si>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</si>
  <si>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</si>
  <si>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</si>
  <si>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</si>
  <si>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</si>
  <si>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</si>
  <si>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</si>
  <si>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</si>
  <si>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</si>
  <si>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</si>
  <si>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</si>
  <si>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</si>
  <si>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</si>
  <si>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</si>
  <si>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</si>
  <si>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</si>
  <si>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</si>
  <si>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</si>
  <si>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</si>
  <si>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</si>
  <si>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</si>
  <si>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</si>
  <si>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</si>
  <si>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</si>
  <si>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</si>
  <si>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</si>
  <si>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</si>
  <si>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</si>
  <si>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</si>
  <si>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</si>
  <si>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</si>
  <si>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</si>
  <si>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</si>
  <si>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</si>
  <si>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</si>
  <si>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</si>
  <si>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</si>
  <si>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</si>
  <si>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</si>
  <si>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</si>
  <si>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</si>
  <si>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</si>
  <si>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</si>
  <si>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</si>
  <si>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</si>
  <si>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</si>
  <si>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</si>
  <si>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</si>
  <si>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</si>
  <si>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</si>
  <si>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</si>
  <si>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</si>
  <si>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</si>
  <si>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</si>
  <si>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</si>
  <si>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</si>
  <si>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</si>
  <si>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</si>
  <si>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</si>
  <si>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</si>
  <si>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</si>
  <si>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</si>
  <si>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</si>
  <si>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</si>
  <si>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</si>
  <si>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</si>
  <si>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</si>
  <si>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</si>
  <si>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</si>
  <si>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</si>
  <si>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</si>
  <si>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</si>
  <si>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</si>
  <si>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</si>
  <si>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</si>
  <si>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</si>
  <si>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</si>
  <si>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</si>
  <si>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</si>
  <si>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</si>
  <si>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</si>
  <si>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</si>
  <si>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</si>
  <si>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</si>
  <si>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</si>
  <si>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</si>
  <si>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</si>
  <si>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</si>
  <si>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</si>
  <si>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</si>
  <si>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</si>
  <si>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</si>
  <si>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</si>
  <si>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</si>
  <si>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</si>
  <si>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</si>
  <si>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</si>
  <si>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</si>
  <si>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</si>
  <si>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</si>
  <si>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</si>
  <si>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</si>
  <si>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</si>
  <si>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</si>
  <si>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</si>
  <si>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</si>
  <si>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</si>
  <si>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</si>
  <si>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</si>
  <si>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</si>
  <si>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</si>
  <si>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</si>
  <si>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</si>
  <si>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</si>
  <si>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</si>
  <si>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</si>
  <si>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</si>
  <si>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</si>
  <si>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</si>
  <si>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</si>
  <si>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</si>
  <si>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</si>
  <si>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</si>
  <si>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</si>
  <si>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</si>
  <si>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</si>
  <si>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</si>
  <si>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</si>
  <si>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</si>
  <si>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</si>
  <si>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</si>
  <si>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</si>
  <si>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</si>
  <si>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</si>
  <si>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</si>
  <si>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</si>
  <si>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</si>
  <si>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</si>
  <si>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</si>
  <si>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</si>
  <si>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</si>
  <si>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</si>
  <si>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</si>
  <si>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</si>
  <si>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</si>
  <si>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</si>
  <si>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</si>
  <si>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</si>
  <si>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</si>
  <si>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</si>
  <si>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</si>
  <si>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</si>
  <si>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</si>
  <si>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</si>
  <si>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</si>
  <si>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</si>
  <si>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</si>
  <si>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</si>
  <si>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</si>
  <si>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</si>
  <si>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</si>
  <si>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</si>
  <si>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</si>
  <si>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</si>
  <si>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</si>
  <si>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</si>
  <si>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</si>
  <si>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</si>
  <si>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</si>
  <si>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</si>
  <si>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</si>
  <si>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</si>
  <si>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</si>
  <si>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</si>
  <si>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</si>
  <si>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</si>
  <si>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</si>
  <si>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</si>
  <si>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</si>
  <si>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</si>
  <si>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</si>
  <si>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</si>
  <si>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</si>
  <si>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</si>
  <si>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</si>
  <si>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</si>
  <si>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</si>
  <si>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</si>
  <si>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</si>
  <si>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</si>
  <si>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</si>
  <si>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</si>
  <si>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</si>
  <si>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</si>
  <si>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</si>
  <si>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</si>
  <si>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</si>
  <si>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</si>
  <si>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</si>
  <si>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</si>
  <si>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</si>
  <si>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</si>
  <si>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</si>
  <si>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</si>
  <si>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</si>
  <si>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</si>
  <si>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</si>
  <si>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</si>
  <si>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</si>
  <si>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</si>
  <si>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</si>
  <si>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</si>
  <si>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</si>
  <si>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</si>
  <si>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</si>
  <si>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</si>
  <si>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</si>
  <si>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</si>
  <si>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</si>
  <si>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</si>
  <si>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</si>
  <si>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</si>
  <si>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</si>
  <si>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</si>
  <si>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</si>
  <si>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</si>
  <si>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</si>
  <si>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</si>
  <si>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</si>
  <si>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</si>
  <si>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</si>
  <si>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</si>
  <si>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</si>
  <si>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</si>
  <si>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</si>
  <si>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</si>
  <si>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</si>
  <si>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</si>
  <si>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</si>
  <si>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</si>
  <si>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</si>
  <si>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</si>
  <si>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</si>
  <si>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</si>
  <si>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</si>
  <si>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</si>
  <si>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</si>
  <si>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</si>
  <si>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</si>
  <si>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</si>
  <si>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</si>
  <si>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</si>
  <si>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</si>
  <si>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</si>
  <si>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</si>
  <si>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</si>
  <si>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</si>
  <si>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</si>
  <si>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</si>
  <si>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</si>
  <si>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</si>
  <si>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</si>
  <si>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</si>
  <si>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</si>
  <si>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</si>
  <si>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</si>
  <si>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</si>
  <si>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</si>
  <si>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</si>
  <si>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</si>
  <si>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</si>
  <si>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</si>
  <si>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</si>
  <si>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</si>
  <si>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</si>
  <si>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</si>
  <si>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</si>
  <si>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Cirurgias de Urgência</t>
  </si>
  <si>
    <t>Equipo Bomba Normal Santronic  -  EQUIPO PARA BOMBA DE INFUSÃO SAMTRONIC S/FILTRO EI 0421 0000</t>
  </si>
  <si>
    <t>EQUIPO MACRO C/ENTRADA DE AR E INJ. LATERAL</t>
  </si>
  <si>
    <t>EXTENSOR PACIENTE COM ANTIRREFLUXO UMA VIA</t>
  </si>
  <si>
    <t>F.MONONYLON 3.0 C/A P1663T</t>
  </si>
  <si>
    <t>F.VICRYL 1 C/A J535H</t>
  </si>
  <si>
    <t>GAZE 10X10 13FIOS C/10UNID ESTERIL</t>
  </si>
  <si>
    <t>GAZE 7,5X7,5 11FIOS C/10UNID. ESTERIL</t>
  </si>
  <si>
    <t>KIT SERINGA  ANGIOGRÁFICA COM 2 SERINGAS DE 200ml + 2 “J” + 1 tubo (duas vias) PARA BOMBA INJETORA SINO POWER D</t>
  </si>
  <si>
    <t xml:space="preserve">LUVA PROCED. MÉDIA NITRÍLICA SEM PÓ </t>
  </si>
  <si>
    <t>SERINGA DESCARTAVEL 10 ML S/ AGULHA - SLIP S/DISPOSITIVO – C/ GRADUAÇÃO POR ML</t>
  </si>
  <si>
    <t>SERINGA DESCARTAVEL 20 ML S/ AGULHA - SLIP S/DISPOSITIVO</t>
  </si>
  <si>
    <t>SERINGA DESCARTAVEL 60 ML S/ AGULHA - BICO LUER LOCK  - S/DISPOSITIVO</t>
  </si>
  <si>
    <t>TIRAS P/ HGT</t>
  </si>
  <si>
    <t>ROCUrônio 10MG/ML 5ML</t>
  </si>
  <si>
    <t>SEVOflurano 250ML FR</t>
  </si>
  <si>
    <t>SOLUÇÃO FISIOLOGICA 0,9% 1000ML</t>
  </si>
  <si>
    <t>SOLUÇÃO FISIOLOGICA 0,9% 100ML</t>
  </si>
  <si>
    <t>SOLUÇÃO FISIOLOGICA 0,9% 250ML</t>
  </si>
  <si>
    <t>SOLUÇÃO FISIOLOGICA 0,9% 500ML</t>
  </si>
  <si>
    <t>SOLUÇÃO GLICOSE 5% 250ML</t>
  </si>
  <si>
    <t>SOLUÇÃO GLICOSE 5% 500ML</t>
  </si>
  <si>
    <t>Supervisor Manutenção</t>
  </si>
  <si>
    <t>Gerente de Suprimentos</t>
  </si>
  <si>
    <t>Total /  Mês</t>
  </si>
  <si>
    <t>BLAU FARMACEUTICA S.A</t>
  </si>
  <si>
    <t>GENÉRICO</t>
  </si>
  <si>
    <t>FRESENIUS KABI BRASIL LTDA.</t>
  </si>
  <si>
    <t>EUROFARMA LABORATORIOS S.A. FILIAL 8</t>
  </si>
  <si>
    <t>INSTITUTO BIOCHIMICO INDUSTRIA FARMACEUTICA LTDA</t>
  </si>
  <si>
    <t>PROPOfol 10MG/ML 20ML ( IV ) AMP</t>
  </si>
  <si>
    <t>VANCOmicina 500MG AMP. ( IV )</t>
  </si>
  <si>
    <t>SAMTRONIC INDUSTRIA E COMERCIO LTDA</t>
  </si>
  <si>
    <t>1000MEDIC</t>
  </si>
  <si>
    <t>JOHNSON</t>
  </si>
  <si>
    <t>CREMER</t>
  </si>
  <si>
    <t>LUVA PROCEDIMENTO MEDIA COM PÓ - CX/100UNID</t>
  </si>
  <si>
    <t>MEDIX</t>
  </si>
  <si>
    <t>LUVA PROCEDIMENTO PEQUENA COM PÓ - CX/100UNID</t>
  </si>
  <si>
    <t>MEDLEVENSOHN COMERCIO E REPRESENTACOES DE PRODUTOS HOSPITALARES LTDA</t>
  </si>
  <si>
    <t>Analista de TI</t>
  </si>
  <si>
    <t>OBS: na especialidade de PROCTOLOGIA, foi realizado um reagendamento de novembro de 2024.</t>
  </si>
  <si>
    <t xml:space="preserve">AGULHA HUBER C/ DISPOSITIVO DE SEGURANÇA E LINHA DE INFUSAO 20Gx15mm P/ PUNÇÃO DE CATETER TOTALMENTE IMPLANTAVEL </t>
  </si>
  <si>
    <t>AGULHA HUBER C/ DISPOSITIVO DE SEGURANÇA E LINHA DE INFUSAO 20Gx20mm P/ PUNÇÃO DE CATETER TOTALMENTE IMPLANTAVEL</t>
  </si>
  <si>
    <t>AGULHA PARA ANESTESIA DE PLEXO REVESTIDA DE TEFLON</t>
  </si>
  <si>
    <t xml:space="preserve">BOMBA DE INFUSÃO ELASTOMERICA PORTATIL P/ TERAPIA DE INFUSÃO A CURTO E LONGO PRAZO CAPACIDADE P/ 270ML-5mL/hora- DESCARTÁVEL C/ POCHETE </t>
  </si>
  <si>
    <t xml:space="preserve">CAMPO OPERATORIO ESTRELA 45X50 35G C/ FIO RADIOPACO - PCT C/50UN - NÃO ESTÉRIL </t>
  </si>
  <si>
    <t>CANETA MONOPOLAR P/ ELETROCAUTÉRIO CONTROLE MANUAL - DESCARTÁVEL</t>
  </si>
  <si>
    <t>CAPILAR - DIALISADOR P/ HEMODIALISE DE BAIXO FLUXO - SUPERFICIE EFETIVA (m²) 1.8 - HPS F8</t>
  </si>
  <si>
    <t>CATETER DUPLO LUMEN 16X16 20CM (7F)</t>
  </si>
  <si>
    <t>CATETER INTRAV. PERIF. Nº 20 C/ DISP. DE SEGURANÇA</t>
  </si>
  <si>
    <t>CATETER INTRAV. PERIF. Nº 22 C/ DISP. DE SEGURANÇA</t>
  </si>
  <si>
    <t>CATETER TOTALMENTE IMPLANTÁVEL DE 8.5 FR X 80CM PARA INFUSÃO DE QUIMIOTERÁPICOS</t>
  </si>
  <si>
    <t>CONJUNTO DE LINHAS DE SANGUE (ARTERIAL + VENOSA) DE USO ÚNICO PARA HEMODIÁLISE C/ EQUIPO DE SORO E ISOLADOR (FRESENIUS)</t>
  </si>
  <si>
    <t>CURATIVO DE HIDROFIBRA 15X15CM COM PRATA IONICA</t>
  </si>
  <si>
    <t xml:space="preserve">ELETRODO DESC. ADULTO </t>
  </si>
  <si>
    <t>Equipo Bomba de Dieta Santronic   -   EQUIPO PARA BOMBA DE INFUSÃO SAMTRONIC ENTERAL S/FILTRO EI 0623 T000</t>
  </si>
  <si>
    <t>Equipo Bomba Fotossensível Santronic  -  EQUIPO PARA BOMBA DE INFUSÃO SAMTRONIC S/FILTRO FOTO EI 0422 0000</t>
  </si>
  <si>
    <t>INJEX</t>
  </si>
  <si>
    <t>BD</t>
  </si>
  <si>
    <t>ALBUMINA HUMANA 20% 50ML</t>
  </si>
  <si>
    <t xml:space="preserve">ALFAPORACTANTO 80MG/ML-3ML </t>
  </si>
  <si>
    <t>ALTEplase 50MG 1 F/A+DIL. 50ML</t>
  </si>
  <si>
    <t>AMPICILINA 2G + SULBACTAM 1G AMP. ( IV / IM )</t>
  </si>
  <si>
    <t>GENERICO</t>
  </si>
  <si>
    <t>CAPECITABINA  500mg - VO</t>
  </si>
  <si>
    <t>SUN FARMACEUTICA DO BRASIL LTDA</t>
  </si>
  <si>
    <t>CeFAZolina 1G ( IV / IM ) AMP</t>
  </si>
  <si>
    <t>CETamina 50MG/ML AMP 10ML ( IV / IM )</t>
  </si>
  <si>
    <t xml:space="preserve">CETAMINA 50MG/ML AMP 2ML ( IV / IM ) </t>
  </si>
  <si>
    <t>CETOPROFENO 100MG/100ML (PRONTO USO)</t>
  </si>
  <si>
    <t>CIPROfloxacino 2MG/ML FR. 100ML ( IV )</t>
  </si>
  <si>
    <t>CONTRASTE IODADO NÃO-IÔNICO DE BAIXA OSMOLARIDADE EQUIVALENTE A 300mg/mL DE IODO - Frasco 100mL</t>
  </si>
  <si>
    <t>DIETA ENTERAL ESPECIALIZADA COM ALTO TEOR CALÓRICO E PROTEICO 2KCAL/ML + 0,1G DE PROTEINA/ML - 500ML</t>
  </si>
  <si>
    <t>DIETA ENTERAL ESPECIALIZADA OLIGOMERICA 1.3KCAL + 0,067G DE PROTEINA/ML - 500ML</t>
  </si>
  <si>
    <t xml:space="preserve">DIETA ENTERAL ESPECIALIZADA PARA DM - HIPERCALORICA E HIPERPROTEICA 1.5 KCAL/ML + 0,075G DE PROTEINA/ML - 1000ML </t>
  </si>
  <si>
    <t>DIETA ENTERAL PADRÃO HIPERCALORICA E HIPERPROTEICA  1.5 KCAL/ML + 0,075G DE PROTEINA/ML - 1000ML</t>
  </si>
  <si>
    <t>DIETA PARENTERAL ACESSO CENTRAL – 1070KCAL/L +  56.9G DE AMINOACIDOS + 80% OLEO DE OLIVA - 1000ML</t>
  </si>
  <si>
    <t>DIETA PARENTERAL ACESSO CENTRAL –1140KCAL/L +  88.6G DE AMINOACIDOS + 80% OLEO DE OLIVA - 2000ML</t>
  </si>
  <si>
    <t>DIPIRONA 500MG/ML AMP. 2ML ( IV / IM )</t>
  </si>
  <si>
    <t>ENOXAparina 40MG/0,4ML SER. ( IV / SC )</t>
  </si>
  <si>
    <t>ENOXAparina 60MG/0,6ML SER ( IV / SC )</t>
  </si>
  <si>
    <t>FentaNILA 0,05MG/ML AMP. 10ML ( IV / IM )</t>
  </si>
  <si>
    <t>HIPOLABOR FARMACEUTICA LTDA</t>
  </si>
  <si>
    <t>FILGRASTIM 300MCG/0,5ml - SC SERINGA (PRONTO PRA USO)</t>
  </si>
  <si>
    <t>FLUORURACILA  2500MG/50ML – EV</t>
  </si>
  <si>
    <t>GENCITABINA 1000MG – EV</t>
  </si>
  <si>
    <t>HEPArina 5.000UI/0,25ML AMP. 0,25ML ( SC )</t>
  </si>
  <si>
    <t>IRINOTECANO 100MG/5ML - EV</t>
  </si>
  <si>
    <t>LEUCOVORIN (FOLINATO DE CÁLCIO) 300MG/30ML</t>
  </si>
  <si>
    <t xml:space="preserve">LEUPRORRELINA 22,5MG SC - SERINGA C/ PÓ LIÓFILO E SERINGA C/ DILUENTE </t>
  </si>
  <si>
    <t>ELIGARD</t>
  </si>
  <si>
    <t>ZODIAC-PRODUTOS FARMACEUTICOS S.A.</t>
  </si>
  <si>
    <t>MEROPENEM 1G AMP. ( IV )</t>
  </si>
  <si>
    <t>MIDAzolam 5MG/ML AMP. 10ML ( IV / IM / RETAL )</t>
  </si>
  <si>
    <t>NOREPinefrina 1MG/ML AMP. 4ML (IV )</t>
  </si>
  <si>
    <t>OCTREOTIDA 0,1MG/ML</t>
  </si>
  <si>
    <t>OMEPRAZOL 40MG FR. ( IV )</t>
  </si>
  <si>
    <t>UNIPRAZOL</t>
  </si>
  <si>
    <t>UNIAO QUIMICA FARMACEUTICA NACIONAL S A - FILIAL 9</t>
  </si>
  <si>
    <t>OXALiplatina 100MG/20ML - EV</t>
  </si>
  <si>
    <t>BLAU FARMACEUTICA S.A.</t>
  </si>
  <si>
    <t>PACLITAXEL 300MG/50ML - EV</t>
  </si>
  <si>
    <t>PIPERACILINA 4G + TAZOBACTAM 0,5G AMP. ( IV )</t>
  </si>
  <si>
    <t>FARMACE - INDUSTRIA QUIMICO-FARMACEUTICA CEARENSE LTDA</t>
  </si>
  <si>
    <t>MARÇO</t>
  </si>
  <si>
    <t>SÃO MIGUEL DO OESTE, 15 DE ABRIL DE 2025.</t>
  </si>
  <si>
    <t>Taxa de Cirurgias de Urgência por ASA</t>
  </si>
  <si>
    <t>CUROSURF</t>
  </si>
  <si>
    <t>CHIESI FARMACEUTICA LTDA</t>
  </si>
  <si>
    <t>ACTILYSE</t>
  </si>
  <si>
    <t>BOEHRINGER INGELHEIM DO BRASIL QUIMICA E FARMACEUTICA LTDA.</t>
  </si>
  <si>
    <t>FAZOLON</t>
  </si>
  <si>
    <t>KETAMIN NP</t>
  </si>
  <si>
    <t>CRISTALIA PRODUTOS QUIMICOS FARMACEUTICOS LTDA</t>
  </si>
  <si>
    <t>BICERTO</t>
  </si>
  <si>
    <t>BEKER PRODUTOS FÁRMACO HOSPITALARES LTDA</t>
  </si>
  <si>
    <t>OMNIPAQUE</t>
  </si>
  <si>
    <t>GE HEALTHCARE DO BRASIL COMERCIO E SERVICOS PARA EQUIPAMENTOS MEDICO-HOSPITALARES LTDA</t>
  </si>
  <si>
    <t>HP 2.0</t>
  </si>
  <si>
    <t>OPD SURVIMED</t>
  </si>
  <si>
    <t>DIBEM 1,5KCAL HP</t>
  </si>
  <si>
    <t>HP ENERGY</t>
  </si>
  <si>
    <t>OLIMEL N9</t>
  </si>
  <si>
    <t>BAXTER HOSPITALAR LTDA</t>
  </si>
  <si>
    <t>OLIMEL N7</t>
  </si>
  <si>
    <t>HYPOFARMA INSTITUTO DE HYPODERMIA E FARMACIA LTDA</t>
  </si>
  <si>
    <t>HEPARINOX</t>
  </si>
  <si>
    <t>FENTANEST</t>
  </si>
  <si>
    <t>FIPRIMA</t>
  </si>
  <si>
    <t xml:space="preserve">FAULDFLUOR </t>
  </si>
  <si>
    <t>LIBBS FARMACEUTICA LTDA</t>
  </si>
  <si>
    <t>GCIB</t>
  </si>
  <si>
    <t>HEMOFOL</t>
  </si>
  <si>
    <t>MYLAN BRASIL DISTRIBUIDORA DE MEDICAMENTOS LTDA.</t>
  </si>
  <si>
    <t>HYPOL</t>
  </si>
  <si>
    <t xml:space="preserve">BRAINFARMA IND. QUIM. E FARMA. S.A </t>
  </si>
  <si>
    <t>ROCURON</t>
  </si>
  <si>
    <t>LABORATORIOS B BRAUN SA</t>
  </si>
  <si>
    <t>DBI COMÉRCIO E IMPORTAÇÃO LTDA</t>
  </si>
  <si>
    <t>BIOMEDICAL EQUIPAMENTOS E PROD MEDICO-CIRURGICOS LTDA</t>
  </si>
  <si>
    <t>QR CONSULTING, IMPORTACAO E DISTRIBUICAO</t>
  </si>
  <si>
    <t>CARDINAL HEALTH DO BRASIL LTDA</t>
  </si>
  <si>
    <t xml:space="preserve">OBS: no mês de março foram realizados 31 reagendamentos referente ao mês de fevereiro - TOMOGRAFO em manutenção. </t>
  </si>
  <si>
    <t>Auxiliar Administrativo - ONCOLOGIA</t>
  </si>
  <si>
    <t>02.01.01.026-7 - BIOPSIA DE LESAO DE PARTES MOLES (POR AGULHA / CEU ABERTO)</t>
  </si>
  <si>
    <t>02.01.01.056-9 - BIOPSIA/EXERESE DE NÓDULO DE MAMA</t>
  </si>
  <si>
    <t>02.04.05.002-2 - COLANGIOGRAFIA PER-OPERATORIA</t>
  </si>
  <si>
    <t>02.09.02.001-6 - CISTOSCOPIA E/OU URETEROSCOPIA E/OU URETROSCOPIA</t>
  </si>
  <si>
    <t xml:space="preserve">02.09.04.001-7 - BRONCOSCOPIA (BRONCOFIBROSCOPIA) </t>
  </si>
  <si>
    <t>03.09.06.001-0 - INSTALAÇÃO DE CATETER DUPLO LUMEN POR PUNÇÃO</t>
  </si>
  <si>
    <t>03.10.01.003-9 - PARTO NORMAL</t>
  </si>
  <si>
    <t>04.01.01.003-1 - DRENAGEM DE ABSCESSO</t>
  </si>
  <si>
    <t>04.01.01.005-8 - EXCISAO DE LESAO E/OU SUTURA DE FERIMENTO DA PELE ANEXOS E MUCOSA</t>
  </si>
  <si>
    <t>04.01.02.005-3 - EXCISÃO E SUTURA DE LESAO NA PELE C/ PLÁSTICA EM Z OU ROTAÇÃO DE RETALHO</t>
  </si>
  <si>
    <t>04.01.02.007-0 - EXÉRESE DE CISTO DERMOIDE</t>
  </si>
  <si>
    <t>04.01.02.010-0 - EXTIRPAÇÃOE SUPRESSÃO DE LESÃO DE PELE E DE TECIDO CELULAR SUBCUTÂNEO</t>
  </si>
  <si>
    <t>04.04.01.037-7 - TRAQUEOSTOMIA</t>
  </si>
  <si>
    <t>04.04.01.041-5 - TURBINECTOMIA</t>
  </si>
  <si>
    <t>04.04.01.048-2 - SEPTOPLASTIA PARA CORREÇÃO DE DESVIO</t>
  </si>
  <si>
    <t>04.04.02.009-7 - EXCISÃO E SUTURA DE LESÃO NA BOCA</t>
  </si>
  <si>
    <t>04.04.02.027-5 - RESSECÇÃO DE LESÃO MALIGNA E BENIGNA DA REGIÃO CRANIO E BUCOMAXILOFACIAL</t>
  </si>
  <si>
    <t>04.04.02.038-0 - TRATAMENTO CIRÚRGICO DE OSTEOMIELITE DE OSSOS DA FACE</t>
  </si>
  <si>
    <t>04.04.02.052-6 - OSTEOSSINTESE DE FRATURA DO COMPLEXO ÓRBITO-ZIGOMÁTICO-MAXILAR</t>
  </si>
  <si>
    <t>04.04.02.054-2 - REDUÇÃO CIRÚRGICA DE FRATURA DOS OSSOS PRÓPRIOS DO NARIZ</t>
  </si>
  <si>
    <t>04.04.02.062-3 - RETIRADA DE MATERIAL DE SÍNTESE ÓSSEA / DENTÁRIA</t>
  </si>
  <si>
    <t>04.04.03.005-0 - COLEDOCOPLASTIA</t>
  </si>
  <si>
    <t>04.06.02.007-8 - IMPLANTAÇÃO DE CATETER DE LONGA PERMANÊNCIA SEMI OU TOTALMENTE IMPLANTAVEL (PROCEDIMENTO PRINCIPAL)</t>
  </si>
  <si>
    <t>04.06.02.008-6 - CONFECÇÃO DE FÍSTULA ARTERIOVENOSA P/ ACESSO</t>
  </si>
  <si>
    <t>04.06.02.009-4 - DISSECÇÃO DE VEIA / ARTÉRIA</t>
  </si>
  <si>
    <t>04.06.02.024-8 - LINFADENECTOMIA RADICAL CERVICAL UNILATERAL</t>
  </si>
  <si>
    <t>04.06.02.049-3 - TRATAMENTO CIRURGICO DE LESOES VASCULARES TRAUMATICAS DA REGIAO CERVICAL</t>
  </si>
  <si>
    <t>04.06.02.057-4 - TRATAMENTO CIRÚRGICO DE VARIZES (UNILATERAL)</t>
  </si>
  <si>
    <t>04.06.02.062-0 - RETIRADA DE CATETER DE LONGA PERMANÊNCIA SEMI OU TOTALMENTE IMPLANTÁVEL</t>
  </si>
  <si>
    <t>04.07.01.019-0 - GASTRORRAFIA</t>
  </si>
  <si>
    <t>04.07.01.021-1 - GASTROSTOMIA</t>
  </si>
  <si>
    <t>04.07.01.024-6 - RETIRADA DE CORPO ESTRANHO DO TUBO DIGESTIVO POR ENDOSCOPIA</t>
  </si>
  <si>
    <t>04.07.01.026-2 - TAMPONAMENTO DE LESÕES HEMORRÁGICAS DO APARELHO DIGESTIVO</t>
  </si>
  <si>
    <t>04.07.02.003-9 -  APENDICECTOMIA</t>
  </si>
  <si>
    <t>04.07.02.006-3 -  COLECTOMIA PARCIAL (HEMICOLECTOMIA)</t>
  </si>
  <si>
    <t>04.07.02.017-9 - ENTERECTOMIA</t>
  </si>
  <si>
    <t>04.07.02.018-7 - ENTEROANASTOMOSE (QUALQUER SEGMENTO)</t>
  </si>
  <si>
    <t>04.07.02.020-9 - ENTEROTOMIA E/OU ENTERORRAFIA C/ SUTURA / RESSECÇÃO (QUALQUER SEGMENTO)</t>
  </si>
  <si>
    <t>04.07.02.024-1 - FECHAMENTO DE ENTEROSTOMIA (QUALQUER SEGMENTO)</t>
  </si>
  <si>
    <t>04.07.02.028-4 - HEMORROIDECTOMIA</t>
  </si>
  <si>
    <t>04.07.02.030-6 - JEJUNOSTOMIA / ILEOSTOMIA</t>
  </si>
  <si>
    <t>04.07.03.002-6 - COLECISTECTOMIA</t>
  </si>
  <si>
    <t>04.07.03.003-4 - COLECISTECTOMIA  VIDEOLAPAROSCÓPICA</t>
  </si>
  <si>
    <t>04.07.03.006-9 - COLEDOCOTOMIA COM OU SEM COLECISTECTOMIA</t>
  </si>
  <si>
    <t>04.07.04.001-3 - DRENAGEM DE ABSCESSO PÉLVICO</t>
  </si>
  <si>
    <t>04.07.04.002-1 - DRENAGEM DE ABSCESSO SUBFRÊNICO</t>
  </si>
  <si>
    <t>04.07.04.003-0 - DRENAGEM DE HEMATOMA  / ABSCESSO PRE-PERITONEAL</t>
  </si>
  <si>
    <t>04.07.04.008-0 - HERNIOPLASTIA INCISIONAL</t>
  </si>
  <si>
    <t>04.07.04.016-1 - LAPAROTOMIA EXPLORADORA</t>
  </si>
  <si>
    <t>04.07.04.018-8 - LIBERAÇÃO DE ADERÊNCIAS INTESTINAIS</t>
  </si>
  <si>
    <t>04.07.04.022-6 - REPARACAO DE OUTRAS HERNIAS</t>
  </si>
  <si>
    <t>04.07.04.024-2 - RESSUTURA DE PAREDE ABDOMINAL (POR DEISCENCIA TOTAL / EVISCERAÇÃO)</t>
  </si>
  <si>
    <t>04.07.04.025-0 - TRATAMENTO CIRÚRGICO DE PERITONITE</t>
  </si>
  <si>
    <t>04.08.01.015-0 - TRATAMENTO CIRÚRGICO DE FRATURA DA CLAVÍCULA</t>
  </si>
  <si>
    <t>04.08.01.018-5 - TRATAMENTO CIRURGICO DE LUXACAO / FRATURA-LUXACAO ACROMIO-CLAVICULAR</t>
  </si>
  <si>
    <t>04.08.02.019-9 - REDUÇÃO INCRUENTA DE FRATURA DA DIÁFISE DO ÚMERO</t>
  </si>
  <si>
    <t>04.08.02.020-2 - REDUÇÃO INCRUENTA DE FRATURA DIAFISARIA DOS OSSOS DO ANTEBRAÇO</t>
  </si>
  <si>
    <t>04.08.02.034-2 - TRATAMENTO CIRÚRGICO DE FRATURA / LESÃO FISARIA DAS FALANGES DA MÃO (COM FIXAÇÃO)</t>
  </si>
  <si>
    <t>04.08.02.038-5 - TRATAMENTO CIRÚRGICO DE FRATURA / LESÃO FISARIA SUPRACONDILIANA DO ÚMERO</t>
  </si>
  <si>
    <t>04.08.02.040-7 - TRATAMENTO CIRÚRGICO DE FRATURA DA EXTREMIDADE / METÁFISE DISTAL DOS OSSOS DO ANTEBRAÇO</t>
  </si>
  <si>
    <t>04.08.02.042-3 - TRATAMENTO CIRÚRGICO DE FRATURA DIAFISARIA DE AMBOS OS OSSOS DO ANTEBRAÇO (C/ SINTESE)</t>
  </si>
  <si>
    <t>04.08.02.044-0 - TRATAMENTO CIRÚRGICO DE FRATURA LESÃO FISARIA DOS OSSOS DO ANTEBRAÇO</t>
  </si>
  <si>
    <t>04.08.02.046-6 - TRATAMENTO CIRÚRGICO DE FRATURAS DOS OSSOS DO CARPO</t>
  </si>
  <si>
    <t>04.08.02.053-9 - TRATAMENTO CIRÚRGICO DE LUXAÇÃO / FRATURA-LUXAÇÃO METACARPO-FALANGIANA</t>
  </si>
  <si>
    <t>04.08.02.054-7 - TRATAMENTO CIRÚRGICO DE LUXAÇÃO OU FRATURA-LUXAÇÃO DO COTOVELO</t>
  </si>
  <si>
    <t>04.08.05.001-2 - AMPUTACAO / DESARTICULACAO DE MEMBROS INFERIORES</t>
  </si>
  <si>
    <t>04.08.05.048-9 - TRATAMENTO CIRURGICO DE FRATURA / LESAO FISARIA PROXIMAL (COLO) DO FEMUR (SINTESE)</t>
  </si>
  <si>
    <t>04.08.05.049-7 - TRATAMENTO CIRÚRGICO DE FRATURA BIMALEOLAR / TRIMALEOLAR / DA FRATURA-LUXAÇÃO DO TORNOZELO</t>
  </si>
  <si>
    <t>04.08.05.050-0 - TRATAMENTO CIRÚRGICO DE FRATURA DA DIÁFISE DA TÍBIA</t>
  </si>
  <si>
    <t>04.08.05.051-9 - TRATAMENTO CIRÚRGICO DE FRATURA DA DIÁFISE DO FÊMUR</t>
  </si>
  <si>
    <t>04.08.05.055-1 - TRATAMENTO CIRÚRGICO DE FRATURA DO PLANALTO TIBIAL</t>
  </si>
  <si>
    <t>04.08.05.057-8 - TRATAMENTO CIRÚRGICO DE FRATURA DO TORNOZELO UNIMALEOLAR</t>
  </si>
  <si>
    <t>04.08.05.063-2 - TRATAMENTO CIRÚRGICO DE FRATURA TRANSTROCANTERIANA</t>
  </si>
  <si>
    <t>04.08.05.068-3 - TRATAMENTO CIRÚRGICO DE LUXAÇÃO / FRATURA-LUXAÇÃO AO NÍVEL DO JOELHO</t>
  </si>
  <si>
    <t>04.08.05.071-3 - TRATAMENTO CIRÚRGICO DE LUXAÇÃO / FRATURA-LUXAÇÃO TARSO-METATARSICA</t>
  </si>
  <si>
    <t>04.08.06.004-2 -  AMPUTAÇÃO / DESARTICULAÇÃO DE DEDO</t>
  </si>
  <si>
    <t>04.08.06.035-2 - RETIRADA DE FIO OU PINO INTRA-ÓSSEO</t>
  </si>
  <si>
    <t>04.08.06.036-0 - RETIRADA DE FIXADOR EXTERNO</t>
  </si>
  <si>
    <t>04.08.06.037-9 - RETIRADA DE PLACA E/OU PARAFUSOS</t>
  </si>
  <si>
    <t>04.08.06.042-5 - REVISÃO CIRÚRGICA DE COTO DE AMPUTAÇÃO DOS DEDOS</t>
  </si>
  <si>
    <t>04.08.06.047-6 - TENOPLASTIA OU ENXERTO DE TENDÃO UNICO</t>
  </si>
  <si>
    <t>04.08.06.048-4 - TENORRAFIA ÚNICA EM TÚNEL OSTEO-FIBROSO</t>
  </si>
  <si>
    <t>04.08.06.063-8 - TRATAMENTO CIRÚRGICO DE LUXAÇÃO / FRATURA-LUXAÇÃO METATARSO INTER-FALANGEANA</t>
  </si>
  <si>
    <t>04.09.01.017-0 - INSTALAÇÃO ENDOSCÓPICA DE CATETER DUPLO J</t>
  </si>
  <si>
    <t>04.09.01.038-3 - RESSECCAO ENDOSCOPICA DE LESÃO VESICAL</t>
  </si>
  <si>
    <t>04.09.04.014-2 - ORQUIECTOMIA SUBCAPSULAR BILATERAL</t>
  </si>
  <si>
    <t>04.09.04.016-9 - ORQUIECTOMIA UNILATERAL</t>
  </si>
  <si>
    <t>04.09.06.004-6 - CURETAGEM SEMIOTICA C/ OU S/ DILATACAO DO COLO DO UTERO</t>
  </si>
  <si>
    <t>04.09.06.012-7 - HISTERECTOMIA SUBTOTAL</t>
  </si>
  <si>
    <t>04.09.06.018-6 - LAQUEADURA TUBARIA</t>
  </si>
  <si>
    <t>04.09.06.021-6 - OOFORECTOMIA / OOFOROPLASTIA</t>
  </si>
  <si>
    <t>04.09.06.031-3 - LAQUEADURA TUBÁRIA NA MESMA INTERNAÇÃO DE PARTO NORMA</t>
  </si>
  <si>
    <t>04.10.01.001-4 - DRENAGEM DE ABSCESSO DE MAMA</t>
  </si>
  <si>
    <t>04.10.01.005-7 - MASTECTOMIA RADICAL C/ LINFADENECTOMIA</t>
  </si>
  <si>
    <t>04.10.01.007-3 - PLASTICA MAMÁRIA FEMININA NAO ESTETICA</t>
  </si>
  <si>
    <t>04.10.01.009-0 - PLASTICA MAMÁRIA RECONSTRUTIVA PÓS MASTECTOMIA C/ IMPLANTE DE PRÓTESE</t>
  </si>
  <si>
    <t>04.11.01.002-6 - PARTO CESARIANO EM GESTACAO DE ALTO RISCO</t>
  </si>
  <si>
    <t>04.11.01.003-4 - PARTO CESARIANO</t>
  </si>
  <si>
    <t>04.11.01.004-2 - PARTO CESARIANO C/ LAQUEADURA TUBARIA</t>
  </si>
  <si>
    <t>04.11.01.007-7 - SUTURA DE LACERACOES DE TRAJETO PELVICO</t>
  </si>
  <si>
    <t>04.11.02.001-3 - CURETAGEM POS-ABORTAMENTO / PUERPERAL</t>
  </si>
  <si>
    <t>04.12.04.005-0 - MOBILIZACAO DE RETALHOS MUSCULARES / DO OMENTO</t>
  </si>
  <si>
    <t>04.12.04.016-6 - TORACOSTOMIA COM DRENAGEM PLEURAL FECHADA</t>
  </si>
  <si>
    <t>04.12.05.017-0 - TORACOCENTESE/DRENAGEM DE PLEURA</t>
  </si>
  <si>
    <t>04.13.04.024-0 - TRATAMENTO CIRURGICO P/ REPARACOES DE PERDA DE SUBSTANCIA DA MAO</t>
  </si>
  <si>
    <t>04.14.02.013-8 - EXODONTIA DE DENTE PERMANENTE</t>
  </si>
  <si>
    <t>04.15.02.003-4 - OUTROS PROCEDIMENTOS COM CIRURGIAS SEQUENCIAIS</t>
  </si>
  <si>
    <t>04.15.04.003-5 - DEBRIDAMENTO DE ULCERA  / DE TECIDOS DESVITALIZADOS</t>
  </si>
  <si>
    <t>04.16.01.011-3 - ORQUIECTOMIA UNILATERAL EM ONCOLOGIA</t>
  </si>
  <si>
    <t>04.16.01.017-2 - RESSECÇÃO ENDOSCÓPICA DE TUMOR VESICAL EM ONCOLOGIA</t>
  </si>
  <si>
    <t>04.16.02.024-0 - LINFADENECTOMIA SELETIVA GUIADA (LINFONODO SENTINELA) EM ONCOLOGIA</t>
  </si>
  <si>
    <t>04.16.04.020-9 - LAPAROTOMIA EXPLORADORA COM RESSECÇÃO COMPLETA OU INCOMPLETA DO TUMOR EM ONCOLOGIA</t>
  </si>
  <si>
    <t>04.16.06.012-9 - LAPAROTOMIA PARA AVALIAÇÃO DE TUMOR DE OVÁRIO EM ONCOLOGIA</t>
  </si>
  <si>
    <t>04.16.08.003-0 - EXCISÃO E SUTURA DE LESÃO NA PELE COM PLASTICA EM Z OU ROTAÇÃO DE RETALHO EM ONCOLOGIA</t>
  </si>
  <si>
    <t>04.16.08.008-1 - RECONSTRUÇÃO COM RETALHO MIOCUTÂNEO (QUALQUER PARTE) EM ONCOLOGIA</t>
  </si>
  <si>
    <t>04.16.09.013-3 - RESSECCAO DE TUMOR DE PARTES MOLES EM ONCOLOGIA</t>
  </si>
  <si>
    <t>04.16.12.005-9 - SEGMENTECTOMIA/QUADRANTECTOMIA/SETORECTOMIA DE MAMA EM ONCOLOGIA</t>
  </si>
  <si>
    <t>04.18.01.003-0 - CONFECCAO DE FISTULA ARTERIO-VENOSA P/ HEMODIALISE</t>
  </si>
  <si>
    <t>04.18.01.004-8 - IMPLANTE DE CATETER DE LONGA PERMANÊNCIA P/ HEMODIALISE</t>
  </si>
  <si>
    <t>04.18.02.001-9 - INTERVENCAO EM FÍSTULA ARTERIO-VENOSA</t>
  </si>
  <si>
    <t>07.02.04.011-8 - CATETER DE ACESSO VENOSO CENTRAL POR INSERÇÃO PERIFÉRICA (PICC)</t>
  </si>
  <si>
    <t>07.02.04.015-0 - CATETER VENOSO CENTRAL DUPLO LUMEN</t>
  </si>
  <si>
    <t>4.16.04.001-2 - ANASTOMOSE BILEO-DIGESTIVA EM ONCOLOGIA</t>
  </si>
  <si>
    <t xml:space="preserve">	04.08.01.022-3 - TRATAMENTO CIRÚRGICO DE RETARDO DE CONSOLIDAÇÃO DA PSEUDARTROSE DE CLAVICULA / ESCAPULA</t>
  </si>
  <si>
    <t>02.09.01.004-5 - LAPAROSCOPIA</t>
  </si>
  <si>
    <t>04.02.01.005-1 - TIREOIDECTOMIA TOTAL COM ESVAZIAMENTO GANGLIONAR</t>
  </si>
  <si>
    <t>04.03.01.001-2 - CRANIOPLASTIA</t>
  </si>
  <si>
    <t>04.03.01.002-0 - CRANIOTOMIA DESCOMPRESSIVA</t>
  </si>
  <si>
    <t>04.03.01.011-0 - DESCOMPRESSÃO DE ÓRBITA POR DOENÇA OU TRAUMA</t>
  </si>
  <si>
    <t>04.03.01.027-6 - TRATAMENTO CIRURGICO DE HEMATOMA EXTRADURAL</t>
  </si>
  <si>
    <t>04.06.02.022-1 - LINFADENECTOMIA RADICAL AXILAR UNILATERAL</t>
  </si>
  <si>
    <t>04.06.02.028-0 - LINFADENECTOMIA RETROPERITONIAL</t>
  </si>
  <si>
    <t>04.07.01.012-2 - GASTRECTOMIA COM OU SEM DESVIO DUODENAL</t>
  </si>
  <si>
    <t>04.07.01.016-5 - GASTROENTEROANASTOMOSE</t>
  </si>
  <si>
    <t>04.07.01.029-7 - TRATAMENTO CIRÚRGICO DE REFLUXO GASTROESOFÁGICO</t>
  </si>
  <si>
    <t>04.07.02.007-1 - COLECTOMIA TOTAL</t>
  </si>
  <si>
    <t xml:space="preserve">04.07.02.010-1 - COLOSTOMIA </t>
  </si>
  <si>
    <t>04.07.04.010-2 - HERNIOPLASTIA INGUINAL / CRURAL (UNILATERAL)</t>
  </si>
  <si>
    <t>04.08.01.014-2 - REPARO DE ROTURA DO MANGUITO ROTADOR (INCLUI PROCEDIMENTOS DESCOMPRESSIVOS)</t>
  </si>
  <si>
    <t>04.08.02.033-4 - TRATAMENTO CIRÚRGICO DE FRATURA / LESÃO FISARIA DA EXTREMIDADE PROXIMAL DO UMERO</t>
  </si>
  <si>
    <t>04.08.02.037-7 - TRATAMENTO CIRÚRGICO DE FRATURA / LESÃO FISARIA DOS METACARPIANOS</t>
  </si>
  <si>
    <t>04.08.02.039-3 - TRATAMENTO CIRÚGICO DE FRATURA DA DIÁFISE DO ÚMERO</t>
  </si>
  <si>
    <t>04.08.04.008-4 - ARTROPLASTIA TOTAL PRIMÁRIA DO QUADRIL CIMENTADA</t>
  </si>
  <si>
    <t>04.08.04.021-1 - RETIRADA DE ENXERTO AUTÓGENO DE ILÍACO</t>
  </si>
  <si>
    <t>04.08.05.061-6 - TRATAMENTO CIRÚRGICO DE FRATURA SUBTROCANTERIANA</t>
  </si>
  <si>
    <t>04.08.06.033-6 - RETIRADA DE CORPO ESTRANHO INTRA-ÓSSEO</t>
  </si>
  <si>
    <t>04.09.01.006-5 - CISTOLITOTOMIA E/OU RETIRADA DE CORPO ESTRANHO DA BEXIGA</t>
  </si>
  <si>
    <t>04.09.01.057-0 - URETEROPLASTIA</t>
  </si>
  <si>
    <t>04.09.03.002-3 - PROSTATECTOMIA SUPRAPÚBICA</t>
  </si>
  <si>
    <t>04.09.03.004-0 - RESSECÇÃO ENDOSCÓPICA DE PRÓSTATA</t>
  </si>
  <si>
    <t>04.15.01.001-2 - TRATAMENTO C/ CIRURGIAS MULTIPLAS</t>
  </si>
  <si>
    <t>04.16.01.013-0 - PROSTATOVESICULECTOMIA RADICAL EM ONCOLOGIA</t>
  </si>
  <si>
    <t>04.16.02.002-0 - LINFADENECTOMIA PELVICA EM ONCOLOGIA</t>
  </si>
  <si>
    <t>04.16.02.022-4 - LINFADENECTOMIA RETROPERITONIAL EM ONCOLOGIA</t>
  </si>
  <si>
    <t>04.16.05.002-6 - COLECTOMIA PARCIAL (HEMICOLECTOMIA) EM ONCOLOGIA</t>
  </si>
  <si>
    <t>04.16.05.007-7 - RETOSSIGMOIDECTOMIA ABDOMINAL EM ONCOLOGIA</t>
  </si>
  <si>
    <t>04.16.06.010-2 - VULVECTOMIA PARCIAL EM ONCOLOGIA</t>
  </si>
  <si>
    <t>Especficação: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</si>
</sst>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19" fillId="0" borderId="0"/>
    <xf numFmtId="9" fontId="42" fillId="0" borderId="0" applyFont="0" applyFill="0" applyBorder="0" applyAlignment="0" applyProtection="0"/>
    <xf numFmtId="0" fontId="19" fillId="14" borderId="47" applyNumberFormat="0" applyFont="0" applyAlignment="0" applyProtection="0"/>
    <xf numFmtId="43" fontId="19" fillId="0" borderId="0" applyFont="0" applyFill="0" applyBorder="0" applyAlignment="0" applyProtection="0"/>
    <xf numFmtId="0" fontId="45" fillId="0" borderId="0"/>
  </cellStyleXfs>
  <cellXfs count="674">
    <xf numFmtId="0" fontId="0" fillId="0" borderId="0" xfId="0"/>
    <xf numFmtId="0" fontId="0" fillId="0" borderId="0" xfId="0" applyProtection="1">
      <protection locked="0"/>
    </xf>
    <xf numFmtId="0" fontId="6" fillId="0" borderId="0" xfId="3" applyFont="1" applyAlignment="1" applyProtection="1">
      <alignment horizontal="center" vertical="center"/>
      <protection locked="0"/>
    </xf>
    <xf numFmtId="165" fontId="6" fillId="0" borderId="0" xfId="1" applyNumberFormat="1" applyFont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/>
      <protection locked="0"/>
    </xf>
    <xf numFmtId="164" fontId="4" fillId="4" borderId="9" xfId="1" applyNumberFormat="1" applyFont="1" applyFill="1" applyBorder="1" applyAlignment="1" applyProtection="1">
      <alignment horizontal="center" vertical="center"/>
      <protection locked="0"/>
    </xf>
    <xf numFmtId="164" fontId="4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6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3" fillId="0" borderId="3" xfId="0" applyFont="1" applyBorder="1" applyAlignment="1">
      <alignment horizontal="right" vertical="center"/>
    </xf>
    <xf numFmtId="49" fontId="11" fillId="0" borderId="25" xfId="0" applyNumberFormat="1" applyFont="1" applyBorder="1" applyAlignment="1">
      <alignment horizontal="left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64" fontId="11" fillId="0" borderId="14" xfId="0" applyNumberFormat="1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right" wrapText="1"/>
      <protection locked="0"/>
    </xf>
    <xf numFmtId="0" fontId="15" fillId="0" borderId="10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right" wrapText="1"/>
      <protection locked="0"/>
    </xf>
    <xf numFmtId="0" fontId="7" fillId="0" borderId="3" xfId="0" applyFont="1" applyBorder="1" applyAlignment="1" applyProtection="1">
      <alignment horizontal="right" wrapText="1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3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20" xfId="0" applyFont="1" applyBorder="1" applyAlignment="1">
      <alignment vertical="center" wrapText="1"/>
    </xf>
    <xf numFmtId="3" fontId="15" fillId="0" borderId="21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wrapText="1"/>
      <protection locked="0"/>
    </xf>
    <xf numFmtId="0" fontId="15" fillId="8" borderId="0" xfId="0" applyFont="1" applyFill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5" fillId="0" borderId="13" xfId="0" applyNumberFormat="1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>
      <alignment vertical="center"/>
    </xf>
    <xf numFmtId="3" fontId="15" fillId="9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3" fontId="15" fillId="8" borderId="2" xfId="0" applyNumberFormat="1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vertical="center" wrapText="1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center" wrapText="1"/>
      <protection locked="0"/>
    </xf>
    <xf numFmtId="0" fontId="15" fillId="0" borderId="19" xfId="0" applyFont="1" applyBorder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15" fillId="0" borderId="3" xfId="0" applyFont="1" applyBorder="1" applyAlignment="1" applyProtection="1">
      <alignment horizontal="right" wrapText="1"/>
      <protection locked="0"/>
    </xf>
    <xf numFmtId="3" fontId="15" fillId="8" borderId="21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5" fillId="0" borderId="3" xfId="0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1" xfId="0" applyFont="1" applyBorder="1" applyAlignment="1" applyProtection="1">
      <alignment wrapText="1"/>
      <protection locked="0"/>
    </xf>
    <xf numFmtId="0" fontId="15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right" wrapText="1"/>
      <protection locked="0"/>
    </xf>
    <xf numFmtId="0" fontId="7" fillId="8" borderId="4" xfId="0" applyFont="1" applyFill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wrapText="1"/>
      <protection locked="0"/>
    </xf>
    <xf numFmtId="0" fontId="15" fillId="0" borderId="4" xfId="0" applyFont="1" applyBorder="1" applyAlignment="1">
      <alignment vertical="center" wrapText="1"/>
    </xf>
    <xf numFmtId="0" fontId="15" fillId="0" borderId="20" xfId="0" applyFont="1" applyBorder="1" applyAlignment="1" applyProtection="1">
      <alignment wrapText="1"/>
      <protection locked="0"/>
    </xf>
    <xf numFmtId="0" fontId="15" fillId="0" borderId="36" xfId="0" applyFont="1" applyBorder="1" applyAlignment="1" applyProtection="1">
      <alignment horizontal="center" wrapText="1"/>
      <protection locked="0"/>
    </xf>
    <xf numFmtId="0" fontId="15" fillId="0" borderId="36" xfId="0" applyFont="1" applyBorder="1" applyAlignment="1" applyProtection="1">
      <alignment horizontal="right" wrapText="1"/>
      <protection locked="0"/>
    </xf>
    <xf numFmtId="0" fontId="15" fillId="0" borderId="23" xfId="0" applyFont="1" applyBorder="1" applyAlignment="1" applyProtection="1">
      <alignment horizontal="center" wrapText="1"/>
      <protection locked="0"/>
    </xf>
    <xf numFmtId="0" fontId="7" fillId="8" borderId="23" xfId="0" applyFont="1" applyFill="1" applyBorder="1" applyAlignment="1">
      <alignment horizontal="center" wrapText="1"/>
    </xf>
    <xf numFmtId="0" fontId="15" fillId="0" borderId="36" xfId="0" applyFont="1" applyBorder="1" applyAlignment="1" applyProtection="1">
      <alignment wrapText="1"/>
      <protection locked="0"/>
    </xf>
    <xf numFmtId="0" fontId="15" fillId="0" borderId="21" xfId="0" applyFont="1" applyBorder="1" applyAlignment="1" applyProtection="1">
      <alignment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7" fillId="0" borderId="3" xfId="0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164" fontId="15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5" fillId="0" borderId="0" xfId="0" applyNumberFormat="1" applyFont="1" applyAlignment="1">
      <alignment horizontal="right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7" fillId="7" borderId="3" xfId="0" applyFont="1" applyFill="1" applyBorder="1" applyAlignment="1">
      <alignment vertical="center" wrapText="1"/>
    </xf>
    <xf numFmtId="0" fontId="17" fillId="9" borderId="0" xfId="0" applyFont="1" applyFill="1" applyAlignment="1" applyProtection="1">
      <alignment horizontal="center" vertical="center"/>
      <protection locked="0"/>
    </xf>
    <xf numFmtId="0" fontId="17" fillId="7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10" fontId="17" fillId="10" borderId="0" xfId="4" applyNumberFormat="1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left" vertical="center"/>
    </xf>
    <xf numFmtId="0" fontId="17" fillId="9" borderId="36" xfId="0" applyFont="1" applyFill="1" applyBorder="1" applyAlignment="1">
      <alignment horizontal="center" vertical="center"/>
    </xf>
    <xf numFmtId="10" fontId="16" fillId="9" borderId="36" xfId="4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 wrapText="1"/>
    </xf>
    <xf numFmtId="10" fontId="17" fillId="10" borderId="13" xfId="4" applyNumberFormat="1" applyFont="1" applyFill="1" applyBorder="1" applyAlignment="1">
      <alignment horizontal="center" vertical="center"/>
    </xf>
    <xf numFmtId="10" fontId="17" fillId="9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9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13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15" fillId="0" borderId="6" xfId="0" applyNumberFormat="1" applyFont="1" applyBorder="1" applyAlignment="1" applyProtection="1">
      <alignment horizontal="center" vertical="center"/>
      <protection locked="0"/>
    </xf>
    <xf numFmtId="3" fontId="15" fillId="0" borderId="14" xfId="0" applyNumberFormat="1" applyFont="1" applyBorder="1" applyAlignment="1" applyProtection="1">
      <alignment horizontal="center" vertical="center"/>
      <protection locked="0"/>
    </xf>
    <xf numFmtId="3" fontId="15" fillId="0" borderId="30" xfId="0" applyNumberFormat="1" applyFont="1" applyBorder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horizontal="right" vertical="center"/>
      <protection locked="0"/>
    </xf>
    <xf numFmtId="3" fontId="9" fillId="0" borderId="13" xfId="0" applyNumberFormat="1" applyFont="1" applyBorder="1" applyAlignment="1" applyProtection="1">
      <alignment horizontal="right" vertical="center"/>
      <protection locked="0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right" vertical="center"/>
      <protection locked="0"/>
    </xf>
    <xf numFmtId="2" fontId="15" fillId="8" borderId="39" xfId="0" applyNumberFormat="1" applyFont="1" applyFill="1" applyBorder="1" applyAlignment="1">
      <alignment horizontal="center" vertical="center" wrapText="1"/>
    </xf>
    <xf numFmtId="2" fontId="15" fillId="8" borderId="25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8" borderId="11" xfId="0" applyNumberFormat="1" applyFill="1" applyBorder="1" applyAlignment="1">
      <alignment horizontal="center" vertical="center"/>
    </xf>
    <xf numFmtId="10" fontId="0" fillId="8" borderId="0" xfId="0" applyNumberFormat="1" applyFill="1" applyAlignment="1">
      <alignment horizontal="center" vertical="center"/>
    </xf>
    <xf numFmtId="3" fontId="0" fillId="9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9" borderId="21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9" fillId="11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8" borderId="26" xfId="0" applyNumberFormat="1" applyFill="1" applyBorder="1" applyAlignment="1">
      <alignment horizontal="center" vertical="center"/>
    </xf>
    <xf numFmtId="3" fontId="8" fillId="8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8" borderId="21" xfId="0" applyNumberForma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8" borderId="36" xfId="0" applyNumberFormat="1" applyFill="1" applyBorder="1" applyAlignment="1">
      <alignment horizontal="center" vertical="center"/>
    </xf>
    <xf numFmtId="3" fontId="0" fillId="8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8" borderId="12" xfId="0" applyNumberFormat="1" applyFill="1" applyBorder="1" applyAlignment="1">
      <alignment horizontal="center" vertical="center"/>
    </xf>
    <xf numFmtId="10" fontId="0" fillId="8" borderId="13" xfId="0" applyNumberFormat="1" applyFill="1" applyBorder="1" applyAlignment="1">
      <alignment horizontal="center" vertical="center"/>
    </xf>
    <xf numFmtId="0" fontId="19" fillId="11" borderId="21" xfId="0" applyFont="1" applyFill="1" applyBorder="1" applyAlignment="1">
      <alignment horizontal="center" vertical="center" wrapText="1"/>
    </xf>
    <xf numFmtId="10" fontId="0" fillId="8" borderId="2" xfId="0" applyNumberFormat="1" applyFill="1" applyBorder="1" applyAlignment="1">
      <alignment horizontal="center" vertical="center"/>
    </xf>
    <xf numFmtId="0" fontId="9" fillId="0" borderId="2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horizontal="righ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17" fillId="0" borderId="32" xfId="0" applyFont="1" applyBorder="1" applyAlignment="1">
      <alignment horizontal="center"/>
    </xf>
    <xf numFmtId="0" fontId="17" fillId="9" borderId="13" xfId="0" applyFont="1" applyFill="1" applyBorder="1" applyAlignment="1">
      <alignment horizontal="center"/>
    </xf>
    <xf numFmtId="0" fontId="16" fillId="12" borderId="21" xfId="0" applyFont="1" applyFill="1" applyBorder="1" applyAlignment="1">
      <alignment horizontal="center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9" fillId="0" borderId="21" xfId="0" applyFont="1" applyBorder="1" applyAlignment="1">
      <alignment horizontal="center" vertical="center" wrapText="1"/>
    </xf>
    <xf numFmtId="0" fontId="22" fillId="13" borderId="21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top"/>
    </xf>
    <xf numFmtId="0" fontId="19" fillId="0" borderId="0" xfId="0" applyFont="1" applyAlignment="1">
      <alignment vertical="center"/>
    </xf>
    <xf numFmtId="0" fontId="10" fillId="0" borderId="13" xfId="0" applyFont="1" applyBorder="1" applyAlignment="1">
      <alignment horizontal="center" vertical="center"/>
    </xf>
    <xf numFmtId="10" fontId="21" fillId="8" borderId="13" xfId="0" applyNumberFormat="1" applyFont="1" applyFill="1" applyBorder="1" applyAlignment="1" applyProtection="1">
      <alignment horizontal="center" vertical="center" wrapText="1"/>
      <protection locked="0"/>
    </xf>
    <xf numFmtId="10" fontId="21" fillId="8" borderId="2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9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17" fillId="0" borderId="3" xfId="0" applyFont="1" applyBorder="1"/>
    <xf numFmtId="0" fontId="10" fillId="10" borderId="13" xfId="0" applyFont="1" applyFill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left" vertical="center" wrapText="1"/>
      <protection locked="0"/>
    </xf>
    <xf numFmtId="0" fontId="21" fillId="8" borderId="36" xfId="0" applyFont="1" applyFill="1" applyBorder="1" applyAlignment="1">
      <alignment horizontal="center" vertical="center" wrapText="1"/>
    </xf>
    <xf numFmtId="0" fontId="21" fillId="8" borderId="21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justify" vertical="top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3" fontId="10" fillId="13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/>
      <protection locked="0"/>
    </xf>
    <xf numFmtId="3" fontId="17" fillId="0" borderId="13" xfId="0" applyNumberFormat="1" applyFont="1" applyBorder="1" applyAlignment="1">
      <alignment horizontal="center" vertical="center" wrapText="1"/>
    </xf>
    <xf numFmtId="0" fontId="17" fillId="0" borderId="42" xfId="0" applyFont="1" applyBorder="1" applyAlignment="1" applyProtection="1">
      <alignment vertical="center"/>
      <protection locked="0"/>
    </xf>
    <xf numFmtId="0" fontId="17" fillId="0" borderId="43" xfId="0" applyFont="1" applyBorder="1" applyAlignment="1" applyProtection="1">
      <alignment vertical="center"/>
      <protection locked="0"/>
    </xf>
    <xf numFmtId="0" fontId="17" fillId="0" borderId="44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left" vertical="center" wrapText="1"/>
      <protection locked="0"/>
    </xf>
    <xf numFmtId="0" fontId="17" fillId="0" borderId="36" xfId="0" applyFont="1" applyBorder="1" applyAlignment="1" applyProtection="1">
      <alignment vertical="center"/>
      <protection locked="0"/>
    </xf>
    <xf numFmtId="0" fontId="16" fillId="8" borderId="21" xfId="0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27" fillId="0" borderId="0" xfId="0" applyFont="1" applyAlignment="1">
      <alignment horizontal="center" wrapText="1"/>
    </xf>
    <xf numFmtId="49" fontId="10" fillId="0" borderId="25" xfId="0" applyNumberFormat="1" applyFont="1" applyBorder="1" applyAlignment="1" applyProtection="1">
      <alignment vertical="center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3" fontId="21" fillId="8" borderId="13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3" fontId="21" fillId="7" borderId="20" xfId="0" applyNumberFormat="1" applyFont="1" applyFill="1" applyBorder="1" applyAlignment="1" applyProtection="1">
      <alignment horizontal="center" vertical="center" wrapText="1"/>
      <protection locked="0"/>
    </xf>
    <xf numFmtId="3" fontId="21" fillId="8" borderId="36" xfId="0" applyNumberFormat="1" applyFont="1" applyFill="1" applyBorder="1" applyAlignment="1">
      <alignment horizontal="center" vertical="center" wrapText="1"/>
    </xf>
    <xf numFmtId="3" fontId="21" fillId="8" borderId="21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 applyProtection="1">
      <alignment vertical="center"/>
      <protection locked="0"/>
    </xf>
    <xf numFmtId="0" fontId="10" fillId="11" borderId="0" xfId="0" applyFont="1" applyFill="1" applyAlignment="1">
      <alignment horizontal="center" vertical="center" wrapText="1"/>
    </xf>
    <xf numFmtId="0" fontId="10" fillId="0" borderId="21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10" fillId="9" borderId="13" xfId="0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right" vertical="center"/>
      <protection locked="0"/>
    </xf>
    <xf numFmtId="0" fontId="10" fillId="0" borderId="25" xfId="0" applyFont="1" applyBorder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21" fillId="8" borderId="0" xfId="0" applyFont="1" applyFill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0" fontId="21" fillId="0" borderId="1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21" fillId="9" borderId="4" xfId="0" applyFont="1" applyFill="1" applyBorder="1" applyAlignment="1">
      <alignment horizontal="center" vertical="center" wrapText="1"/>
    </xf>
    <xf numFmtId="10" fontId="21" fillId="8" borderId="4" xfId="2" applyNumberFormat="1" applyFont="1" applyFill="1" applyBorder="1" applyAlignment="1">
      <alignment horizontal="center" vertical="center" wrapText="1"/>
    </xf>
    <xf numFmtId="3" fontId="21" fillId="9" borderId="4" xfId="0" applyNumberFormat="1" applyFont="1" applyFill="1" applyBorder="1" applyAlignment="1">
      <alignment horizontal="center" vertical="center" wrapText="1"/>
    </xf>
    <xf numFmtId="3" fontId="10" fillId="9" borderId="4" xfId="0" applyNumberFormat="1" applyFont="1" applyFill="1" applyBorder="1" applyAlignment="1">
      <alignment horizontal="center" vertical="center" wrapText="1"/>
    </xf>
    <xf numFmtId="10" fontId="21" fillId="9" borderId="19" xfId="2" applyNumberFormat="1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9" borderId="23" xfId="0" applyFont="1" applyFill="1" applyBorder="1" applyAlignment="1">
      <alignment horizontal="center" vertical="center" wrapText="1"/>
    </xf>
    <xf numFmtId="3" fontId="21" fillId="9" borderId="23" xfId="0" applyNumberFormat="1" applyFont="1" applyFill="1" applyBorder="1" applyAlignment="1">
      <alignment horizontal="center" vertical="center" wrapText="1"/>
    </xf>
    <xf numFmtId="10" fontId="21" fillId="9" borderId="24" xfId="2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3" fontId="10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  <protection locked="0"/>
    </xf>
    <xf numFmtId="0" fontId="17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1" fillId="0" borderId="20" xfId="0" applyFont="1" applyBorder="1" applyAlignment="1">
      <alignment horizontal="center" vertical="center" wrapText="1"/>
    </xf>
    <xf numFmtId="0" fontId="21" fillId="13" borderId="36" xfId="0" applyFont="1" applyFill="1" applyBorder="1" applyAlignment="1">
      <alignment horizontal="center" vertical="center" wrapText="1"/>
    </xf>
    <xf numFmtId="0" fontId="30" fillId="6" borderId="4" xfId="0" applyFont="1" applyFill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20" xfId="0" applyFont="1" applyBorder="1"/>
    <xf numFmtId="0" fontId="17" fillId="0" borderId="36" xfId="0" applyFont="1" applyBorder="1"/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31" fillId="0" borderId="10" xfId="0" applyFont="1" applyBorder="1" applyProtection="1">
      <protection locked="0"/>
    </xf>
    <xf numFmtId="0" fontId="31" fillId="0" borderId="11" xfId="0" applyFont="1" applyBorder="1" applyProtection="1"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vertical="center" wrapText="1"/>
      <protection locked="0"/>
    </xf>
    <xf numFmtId="0" fontId="31" fillId="0" borderId="3" xfId="0" applyFont="1" applyBorder="1"/>
    <xf numFmtId="0" fontId="33" fillId="0" borderId="0" xfId="0" applyFont="1"/>
    <xf numFmtId="0" fontId="31" fillId="0" borderId="0" xfId="0" applyFont="1"/>
    <xf numFmtId="0" fontId="31" fillId="0" borderId="3" xfId="0" applyFont="1" applyBorder="1" applyAlignment="1">
      <alignment wrapText="1"/>
    </xf>
    <xf numFmtId="0" fontId="31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1" fillId="0" borderId="3" xfId="0" applyFont="1" applyBorder="1" applyProtection="1">
      <protection locked="0"/>
    </xf>
    <xf numFmtId="0" fontId="36" fillId="0" borderId="3" xfId="0" applyFont="1" applyBorder="1" applyProtection="1">
      <protection locked="0"/>
    </xf>
    <xf numFmtId="0" fontId="31" fillId="0" borderId="20" xfId="0" applyFont="1" applyBorder="1" applyProtection="1">
      <protection locked="0"/>
    </xf>
    <xf numFmtId="0" fontId="31" fillId="0" borderId="36" xfId="0" applyFont="1" applyBorder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3" fontId="36" fillId="0" borderId="0" xfId="0" applyNumberFormat="1" applyFont="1" applyAlignment="1" applyProtection="1">
      <alignment vertical="center" wrapText="1"/>
      <protection locked="0"/>
    </xf>
    <xf numFmtId="0" fontId="31" fillId="0" borderId="12" xfId="0" applyFont="1" applyBorder="1" applyProtection="1"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Protection="1">
      <protection locked="0"/>
    </xf>
    <xf numFmtId="0" fontId="31" fillId="0" borderId="13" xfId="0" applyFont="1" applyBorder="1"/>
    <xf numFmtId="0" fontId="31" fillId="0" borderId="13" xfId="0" applyFont="1" applyBorder="1" applyAlignment="1">
      <alignment wrapText="1"/>
    </xf>
    <xf numFmtId="0" fontId="31" fillId="0" borderId="0" xfId="0" applyFont="1" applyAlignment="1" applyProtection="1">
      <alignment wrapText="1"/>
      <protection locked="0"/>
    </xf>
    <xf numFmtId="0" fontId="31" fillId="0" borderId="13" xfId="0" applyFont="1" applyBorder="1" applyProtection="1">
      <protection locked="0"/>
    </xf>
    <xf numFmtId="0" fontId="31" fillId="0" borderId="21" xfId="0" applyFont="1" applyBorder="1" applyProtection="1">
      <protection locked="0"/>
    </xf>
    <xf numFmtId="2" fontId="16" fillId="10" borderId="0" xfId="0" applyNumberFormat="1" applyFont="1" applyFill="1" applyAlignment="1">
      <alignment horizontal="center" vertical="center"/>
    </xf>
    <xf numFmtId="0" fontId="44" fillId="0" borderId="0" xfId="0" applyFont="1" applyAlignment="1" applyProtection="1">
      <alignment horizontal="center" vertical="center" wrapText="1"/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44" fillId="0" borderId="4" xfId="0" applyFont="1" applyBorder="1" applyAlignment="1">
      <alignment horizontal="center" vertical="center" wrapText="1"/>
    </xf>
    <xf numFmtId="0" fontId="44" fillId="6" borderId="4" xfId="0" applyFont="1" applyFill="1" applyBorder="1" applyAlignment="1">
      <alignment horizontal="center" vertical="center" wrapText="1"/>
    </xf>
    <xf numFmtId="0" fontId="44" fillId="7" borderId="4" xfId="0" applyFont="1" applyFill="1" applyBorder="1" applyAlignment="1">
      <alignment horizontal="center" vertical="center" wrapText="1"/>
    </xf>
    <xf numFmtId="0" fontId="16" fillId="0" borderId="48" xfId="0" applyFont="1" applyBorder="1" applyAlignment="1" applyProtection="1">
      <alignment vertical="center"/>
      <protection locked="0"/>
    </xf>
    <xf numFmtId="0" fontId="22" fillId="0" borderId="48" xfId="0" applyFont="1" applyBorder="1" applyAlignment="1">
      <alignment horizontal="center" vertical="center" wrapText="1"/>
    </xf>
    <xf numFmtId="0" fontId="0" fillId="0" borderId="48" xfId="0" applyBorder="1"/>
    <xf numFmtId="0" fontId="10" fillId="0" borderId="48" xfId="0" applyFont="1" applyBorder="1" applyAlignment="1" applyProtection="1">
      <alignment vertical="center"/>
      <protection locked="0"/>
    </xf>
    <xf numFmtId="0" fontId="22" fillId="13" borderId="48" xfId="0" applyFont="1" applyFill="1" applyBorder="1" applyAlignment="1">
      <alignment horizontal="center" vertical="center" wrapText="1"/>
    </xf>
    <xf numFmtId="166" fontId="10" fillId="0" borderId="48" xfId="6" applyNumberFormat="1" applyFont="1" applyBorder="1" applyAlignment="1" applyProtection="1">
      <alignment horizontal="center" vertical="center"/>
      <protection locked="0"/>
    </xf>
    <xf numFmtId="0" fontId="10" fillId="7" borderId="48" xfId="0" applyFont="1" applyFill="1" applyBorder="1" applyAlignment="1" applyProtection="1">
      <alignment horizontal="center" vertical="center"/>
      <protection locked="0"/>
    </xf>
    <xf numFmtId="166" fontId="10" fillId="7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 applyProtection="1">
      <alignment horizontal="center" vertical="center" wrapText="1"/>
      <protection locked="0"/>
    </xf>
    <xf numFmtId="0" fontId="10" fillId="0" borderId="48" xfId="0" applyFont="1" applyBorder="1" applyAlignment="1" applyProtection="1">
      <alignment horizontal="center"/>
      <protection locked="0"/>
    </xf>
    <xf numFmtId="166" fontId="10" fillId="0" borderId="48" xfId="6" applyNumberFormat="1" applyFont="1" applyBorder="1" applyAlignment="1" applyProtection="1">
      <alignment horizontal="center"/>
      <protection locked="0"/>
    </xf>
    <xf numFmtId="166" fontId="10" fillId="0" borderId="48" xfId="0" applyNumberFormat="1" applyFont="1" applyBorder="1" applyAlignment="1" applyProtection="1">
      <alignment horizontal="center"/>
      <protection locked="0"/>
    </xf>
    <xf numFmtId="0" fontId="6" fillId="0" borderId="48" xfId="0" applyFont="1" applyBorder="1" applyAlignment="1">
      <alignment horizontal="center" vertical="center"/>
    </xf>
    <xf numFmtId="0" fontId="4" fillId="0" borderId="48" xfId="3" applyFont="1" applyBorder="1" applyAlignment="1" applyProtection="1">
      <alignment vertical="center"/>
      <protection locked="0"/>
    </xf>
    <xf numFmtId="164" fontId="4" fillId="0" borderId="48" xfId="1" applyNumberFormat="1" applyFont="1" applyBorder="1" applyAlignment="1" applyProtection="1">
      <alignment horizontal="center" vertical="center"/>
      <protection locked="0"/>
    </xf>
    <xf numFmtId="0" fontId="4" fillId="4" borderId="48" xfId="3" applyFont="1" applyFill="1" applyBorder="1" applyAlignment="1" applyProtection="1">
      <alignment vertical="center"/>
      <protection locked="0"/>
    </xf>
    <xf numFmtId="0" fontId="4" fillId="4" borderId="48" xfId="3" applyFont="1" applyFill="1" applyBorder="1" applyAlignment="1" applyProtection="1">
      <alignment horizontal="center" vertical="center"/>
      <protection locked="0"/>
    </xf>
    <xf numFmtId="0" fontId="6" fillId="0" borderId="48" xfId="3" applyFont="1" applyBorder="1" applyAlignment="1" applyProtection="1">
      <alignment horizontal="left" vertical="center"/>
      <protection locked="0"/>
    </xf>
    <xf numFmtId="165" fontId="6" fillId="0" borderId="48" xfId="1" applyNumberFormat="1" applyFont="1" applyBorder="1" applyAlignment="1" applyProtection="1">
      <alignment vertical="center"/>
      <protection locked="0"/>
    </xf>
    <xf numFmtId="0" fontId="4" fillId="2" borderId="48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</xf>
    <xf numFmtId="0" fontId="6" fillId="0" borderId="48" xfId="3" applyFont="1" applyBorder="1" applyAlignment="1" applyProtection="1">
      <alignment vertical="center"/>
      <protection locked="0"/>
    </xf>
    <xf numFmtId="0" fontId="4" fillId="5" borderId="48" xfId="3" applyFont="1" applyFill="1" applyBorder="1" applyAlignment="1" applyProtection="1">
      <alignment vertical="center"/>
      <protection locked="0"/>
    </xf>
    <xf numFmtId="165" fontId="4" fillId="5" borderId="48" xfId="1" applyNumberFormat="1" applyFont="1" applyFill="1" applyBorder="1" applyAlignment="1" applyProtection="1">
      <alignment vertical="center"/>
    </xf>
    <xf numFmtId="0" fontId="6" fillId="0" borderId="37" xfId="3" applyFont="1" applyBorder="1" applyAlignment="1" applyProtection="1">
      <alignment horizontal="left" vertical="center"/>
      <protection locked="0"/>
    </xf>
    <xf numFmtId="165" fontId="6" fillId="0" borderId="38" xfId="1" applyNumberFormat="1" applyFont="1" applyBorder="1" applyAlignment="1" applyProtection="1">
      <alignment vertical="center"/>
      <protection locked="0"/>
    </xf>
    <xf numFmtId="165" fontId="6" fillId="0" borderId="48" xfId="1" applyNumberFormat="1" applyFont="1" applyBorder="1" applyAlignment="1" applyProtection="1">
      <alignment horizontal="right" vertical="center"/>
      <protection locked="0"/>
    </xf>
    <xf numFmtId="165" fontId="6" fillId="0" borderId="48" xfId="1" applyNumberFormat="1" applyFont="1" applyFill="1" applyBorder="1" applyAlignment="1" applyProtection="1">
      <alignment vertical="center"/>
      <protection locked="0"/>
    </xf>
    <xf numFmtId="165" fontId="4" fillId="4" borderId="48" xfId="1" applyNumberFormat="1" applyFont="1" applyFill="1" applyBorder="1" applyAlignment="1" applyProtection="1">
      <alignment vertical="center"/>
    </xf>
    <xf numFmtId="0" fontId="4" fillId="4" borderId="34" xfId="3" applyFont="1" applyFill="1" applyBorder="1" applyAlignment="1" applyProtection="1">
      <alignment vertical="center"/>
      <protection locked="0"/>
    </xf>
    <xf numFmtId="165" fontId="6" fillId="0" borderId="0" xfId="1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5" borderId="52" xfId="3" applyFont="1" applyFill="1" applyBorder="1" applyAlignment="1" applyProtection="1">
      <alignment vertical="center"/>
      <protection locked="0"/>
    </xf>
    <xf numFmtId="0" fontId="6" fillId="0" borderId="52" xfId="3" applyFont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vertical="center"/>
      <protection locked="0"/>
    </xf>
    <xf numFmtId="0" fontId="4" fillId="6" borderId="39" xfId="3" applyFont="1" applyFill="1" applyBorder="1" applyAlignment="1" applyProtection="1">
      <alignment vertical="center"/>
      <protection locked="0"/>
    </xf>
    <xf numFmtId="0" fontId="6" fillId="0" borderId="54" xfId="3" applyFont="1" applyBorder="1" applyAlignment="1" applyProtection="1">
      <alignment horizontal="left" vertical="center"/>
      <protection locked="0"/>
    </xf>
    <xf numFmtId="0" fontId="0" fillId="0" borderId="25" xfId="0" applyBorder="1" applyProtection="1">
      <protection locked="0"/>
    </xf>
    <xf numFmtId="0" fontId="4" fillId="6" borderId="52" xfId="3" applyFont="1" applyFill="1" applyBorder="1" applyAlignment="1" applyProtection="1">
      <alignment vertical="center"/>
      <protection locked="0"/>
    </xf>
    <xf numFmtId="0" fontId="6" fillId="6" borderId="55" xfId="3" applyFont="1" applyFill="1" applyBorder="1" applyAlignment="1" applyProtection="1">
      <alignment vertical="center"/>
      <protection locked="0"/>
    </xf>
    <xf numFmtId="0" fontId="4" fillId="4" borderId="39" xfId="3" applyFont="1" applyFill="1" applyBorder="1" applyAlignment="1" applyProtection="1">
      <alignment vertical="center"/>
      <protection locked="0"/>
    </xf>
    <xf numFmtId="0" fontId="6" fillId="2" borderId="52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  <protection locked="0"/>
    </xf>
    <xf numFmtId="0" fontId="4" fillId="4" borderId="52" xfId="3" applyFont="1" applyFill="1" applyBorder="1" applyAlignment="1" applyProtection="1">
      <alignment vertical="center"/>
      <protection locked="0"/>
    </xf>
    <xf numFmtId="0" fontId="6" fillId="0" borderId="37" xfId="3" applyFont="1" applyBorder="1" applyAlignment="1" applyProtection="1">
      <alignment vertical="center"/>
      <protection locked="0"/>
    </xf>
    <xf numFmtId="0" fontId="6" fillId="0" borderId="38" xfId="3" applyFont="1" applyBorder="1" applyAlignment="1" applyProtection="1">
      <alignment vertical="center"/>
      <protection locked="0"/>
    </xf>
    <xf numFmtId="165" fontId="6" fillId="2" borderId="48" xfId="1" applyNumberFormat="1" applyFont="1" applyFill="1" applyBorder="1" applyAlignment="1" applyProtection="1">
      <alignment vertical="center"/>
      <protection locked="0"/>
    </xf>
    <xf numFmtId="0" fontId="6" fillId="4" borderId="52" xfId="3" applyFont="1" applyFill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 wrapText="1"/>
      <protection locked="0"/>
    </xf>
    <xf numFmtId="165" fontId="6" fillId="4" borderId="48" xfId="3" applyNumberFormat="1" applyFont="1" applyFill="1" applyBorder="1" applyAlignment="1">
      <alignment vertical="center"/>
    </xf>
    <xf numFmtId="0" fontId="6" fillId="0" borderId="52" xfId="3" applyFont="1" applyBorder="1" applyAlignment="1" applyProtection="1">
      <alignment vertical="center" wrapText="1"/>
      <protection locked="0"/>
    </xf>
    <xf numFmtId="0" fontId="6" fillId="0" borderId="54" xfId="3" applyFont="1" applyBorder="1" applyAlignment="1" applyProtection="1">
      <alignment horizontal="left" vertical="center" wrapText="1"/>
      <protection locked="0"/>
    </xf>
    <xf numFmtId="0" fontId="6" fillId="0" borderId="39" xfId="3" applyFont="1" applyBorder="1" applyAlignment="1" applyProtection="1">
      <alignment vertical="center"/>
      <protection locked="0"/>
    </xf>
    <xf numFmtId="165" fontId="6" fillId="0" borderId="9" xfId="1" applyNumberFormat="1" applyFont="1" applyBorder="1" applyAlignment="1" applyProtection="1">
      <alignment vertical="center"/>
      <protection locked="0"/>
    </xf>
    <xf numFmtId="165" fontId="4" fillId="5" borderId="55" xfId="1" applyNumberFormat="1" applyFont="1" applyFill="1" applyBorder="1" applyAlignment="1" applyProtection="1">
      <alignment horizontal="center" vertical="center"/>
    </xf>
    <xf numFmtId="0" fontId="4" fillId="4" borderId="53" xfId="3" applyFont="1" applyFill="1" applyBorder="1" applyAlignment="1" applyProtection="1">
      <alignment vertical="center"/>
      <protection locked="0"/>
    </xf>
    <xf numFmtId="0" fontId="6" fillId="0" borderId="51" xfId="3" applyFont="1" applyBorder="1" applyAlignment="1" applyProtection="1">
      <alignment vertical="center"/>
      <protection locked="0"/>
    </xf>
    <xf numFmtId="0" fontId="6" fillId="4" borderId="53" xfId="3" applyFont="1" applyFill="1" applyBorder="1" applyAlignment="1" applyProtection="1">
      <alignment vertical="center"/>
      <protection locked="0"/>
    </xf>
    <xf numFmtId="0" fontId="6" fillId="0" borderId="54" xfId="3" applyFont="1" applyBorder="1" applyAlignment="1" applyProtection="1">
      <alignment vertical="center" wrapText="1"/>
      <protection locked="0"/>
    </xf>
    <xf numFmtId="0" fontId="11" fillId="0" borderId="48" xfId="0" applyFont="1" applyBorder="1" applyAlignment="1">
      <alignment horizontal="center" vertical="center"/>
    </xf>
    <xf numFmtId="0" fontId="11" fillId="0" borderId="48" xfId="0" applyFont="1" applyBorder="1" applyAlignment="1">
      <alignment vertical="center"/>
    </xf>
    <xf numFmtId="0" fontId="15" fillId="0" borderId="48" xfId="0" applyFont="1" applyBorder="1"/>
    <xf numFmtId="166" fontId="11" fillId="0" borderId="48" xfId="0" applyNumberFormat="1" applyFont="1" applyBorder="1" applyAlignment="1">
      <alignment horizontal="center" vertical="center"/>
    </xf>
    <xf numFmtId="0" fontId="25" fillId="7" borderId="12" xfId="0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vertical="center"/>
    </xf>
    <xf numFmtId="0" fontId="25" fillId="7" borderId="56" xfId="0" applyFont="1" applyFill="1" applyBorder="1" applyAlignment="1">
      <alignment vertical="center"/>
    </xf>
    <xf numFmtId="3" fontId="25" fillId="7" borderId="57" xfId="0" applyNumberFormat="1" applyFont="1" applyFill="1" applyBorder="1" applyAlignment="1" applyProtection="1">
      <alignment horizontal="center" vertical="center"/>
      <protection locked="0"/>
    </xf>
    <xf numFmtId="0" fontId="25" fillId="7" borderId="58" xfId="0" applyFont="1" applyFill="1" applyBorder="1" applyAlignment="1">
      <alignment vertical="center" wrapText="1"/>
    </xf>
    <xf numFmtId="3" fontId="25" fillId="8" borderId="59" xfId="0" applyNumberFormat="1" applyFont="1" applyFill="1" applyBorder="1" applyAlignment="1">
      <alignment horizontal="center" vertical="center"/>
    </xf>
    <xf numFmtId="0" fontId="45" fillId="0" borderId="48" xfId="7" applyBorder="1" applyAlignment="1" applyProtection="1">
      <alignment horizontal="center" wrapText="1"/>
      <protection locked="0"/>
    </xf>
    <xf numFmtId="0" fontId="15" fillId="0" borderId="0" xfId="7" applyFont="1" applyAlignment="1" applyProtection="1">
      <alignment horizontal="center" wrapText="1"/>
      <protection locked="0"/>
    </xf>
    <xf numFmtId="0" fontId="15" fillId="0" borderId="48" xfId="7" applyFont="1" applyBorder="1" applyAlignment="1" applyProtection="1">
      <alignment horizontal="center" wrapText="1"/>
      <protection locked="0"/>
    </xf>
    <xf numFmtId="0" fontId="45" fillId="0" borderId="48" xfId="7" applyBorder="1" applyAlignment="1" applyProtection="1">
      <alignment horizontal="center" vertical="center" wrapText="1"/>
      <protection locked="0"/>
    </xf>
    <xf numFmtId="0" fontId="45" fillId="0" borderId="34" xfId="7" applyBorder="1" applyAlignment="1" applyProtection="1">
      <alignment horizontal="center" vertical="center" wrapText="1"/>
      <protection locked="0"/>
    </xf>
    <xf numFmtId="10" fontId="15" fillId="8" borderId="40" xfId="2" applyNumberFormat="1" applyFont="1" applyFill="1" applyBorder="1" applyAlignment="1">
      <alignment horizontal="center" vertical="center" wrapText="1"/>
    </xf>
    <xf numFmtId="0" fontId="21" fillId="8" borderId="26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/>
    </xf>
    <xf numFmtId="0" fontId="47" fillId="0" borderId="10" xfId="0" applyFont="1" applyBorder="1" applyAlignment="1">
      <alignment vertical="center"/>
    </xf>
    <xf numFmtId="0" fontId="47" fillId="0" borderId="2" xfId="0" applyFont="1" applyBorder="1" applyAlignment="1">
      <alignment horizontal="center" vertical="center"/>
    </xf>
    <xf numFmtId="0" fontId="47" fillId="0" borderId="8" xfId="0" applyFont="1" applyBorder="1" applyAlignment="1">
      <alignment horizontal="left" vertical="center"/>
    </xf>
    <xf numFmtId="0" fontId="47" fillId="9" borderId="32" xfId="0" applyFont="1" applyFill="1" applyBorder="1" applyAlignment="1">
      <alignment horizontal="center" vertical="center"/>
    </xf>
    <xf numFmtId="0" fontId="31" fillId="0" borderId="3" xfId="0" applyFont="1" applyBorder="1" applyAlignment="1" applyProtection="1">
      <alignment horizontal="center"/>
      <protection locked="0"/>
    </xf>
    <xf numFmtId="0" fontId="43" fillId="0" borderId="0" xfId="0" applyFont="1" applyAlignment="1" applyProtection="1">
      <alignment horizontal="center"/>
      <protection locked="0"/>
    </xf>
    <xf numFmtId="0" fontId="43" fillId="0" borderId="13" xfId="0" applyFont="1" applyBorder="1" applyAlignment="1" applyProtection="1">
      <alignment horizontal="center"/>
      <protection locked="0"/>
    </xf>
    <xf numFmtId="0" fontId="34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1" fillId="0" borderId="25" xfId="0" applyFont="1" applyBorder="1" applyAlignment="1">
      <alignment horizontal="center"/>
    </xf>
    <xf numFmtId="49" fontId="31" fillId="0" borderId="25" xfId="0" applyNumberFormat="1" applyFont="1" applyBorder="1" applyAlignment="1">
      <alignment horizontal="center"/>
    </xf>
    <xf numFmtId="0" fontId="35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30" fillId="0" borderId="18" xfId="0" applyFont="1" applyBorder="1" applyAlignment="1">
      <alignment vertical="center"/>
    </xf>
    <xf numFmtId="0" fontId="30" fillId="0" borderId="4" xfId="0" applyFont="1" applyBorder="1" applyAlignment="1">
      <alignment vertical="center"/>
    </xf>
    <xf numFmtId="0" fontId="21" fillId="13" borderId="5" xfId="0" applyFont="1" applyFill="1" applyBorder="1" applyAlignment="1">
      <alignment horizontal="center" vertical="center" wrapText="1"/>
    </xf>
    <xf numFmtId="0" fontId="21" fillId="13" borderId="7" xfId="0" applyFont="1" applyFill="1" applyBorder="1" applyAlignment="1">
      <alignment horizontal="center" vertical="center" wrapText="1"/>
    </xf>
    <xf numFmtId="0" fontId="29" fillId="6" borderId="18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left" vertical="center" wrapText="1"/>
    </xf>
    <xf numFmtId="0" fontId="30" fillId="0" borderId="18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26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21" fillId="0" borderId="20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vertical="center"/>
      <protection locked="0"/>
    </xf>
    <xf numFmtId="0" fontId="22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horizontal="justify" vertical="top" wrapText="1"/>
      <protection locked="0"/>
    </xf>
    <xf numFmtId="0" fontId="10" fillId="0" borderId="13" xfId="0" applyFont="1" applyBorder="1" applyAlignment="1" applyProtection="1">
      <alignment horizontal="justify" vertical="top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3" fontId="10" fillId="7" borderId="3" xfId="0" applyNumberFormat="1" applyFont="1" applyFill="1" applyBorder="1" applyAlignment="1" applyProtection="1">
      <alignment horizontal="left" vertical="center" wrapText="1"/>
      <protection locked="0"/>
    </xf>
    <xf numFmtId="3" fontId="10" fillId="7" borderId="0" xfId="0" applyNumberFormat="1" applyFont="1" applyFill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0" fillId="7" borderId="0" xfId="0" applyFont="1" applyFill="1" applyAlignment="1">
      <alignment horizontal="center" vertical="top" wrapText="1"/>
    </xf>
    <xf numFmtId="0" fontId="10" fillId="7" borderId="36" xfId="0" applyFont="1" applyFill="1" applyBorder="1" applyAlignment="1">
      <alignment horizontal="center" vertical="top" wrapText="1"/>
    </xf>
    <xf numFmtId="0" fontId="19" fillId="7" borderId="3" xfId="0" applyFont="1" applyFill="1" applyBorder="1" applyAlignment="1" applyProtection="1">
      <alignment horizontal="center" vertical="center" wrapText="1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0" fontId="19" fillId="7" borderId="20" xfId="0" applyFont="1" applyFill="1" applyBorder="1" applyAlignment="1" applyProtection="1">
      <alignment horizontal="center" vertical="center" wrapText="1"/>
      <protection locked="0"/>
    </xf>
    <xf numFmtId="0" fontId="19" fillId="7" borderId="36" xfId="0" applyFont="1" applyFill="1" applyBorder="1" applyAlignment="1" applyProtection="1">
      <alignment horizontal="center" vertical="center" wrapText="1"/>
      <protection locked="0"/>
    </xf>
    <xf numFmtId="3" fontId="21" fillId="7" borderId="20" xfId="0" applyNumberFormat="1" applyFont="1" applyFill="1" applyBorder="1" applyAlignment="1" applyProtection="1">
      <alignment horizontal="left" vertical="center" wrapText="1"/>
      <protection locked="0"/>
    </xf>
    <xf numFmtId="3" fontId="21" fillId="7" borderId="36" xfId="0" applyNumberFormat="1" applyFont="1" applyFill="1" applyBorder="1" applyAlignment="1" applyProtection="1">
      <alignment horizontal="left" vertical="center" wrapText="1"/>
      <protection locked="0"/>
    </xf>
    <xf numFmtId="0" fontId="21" fillId="7" borderId="1" xfId="0" applyFont="1" applyFill="1" applyBorder="1" applyAlignment="1" applyProtection="1">
      <alignment horizontal="center" vertical="center" wrapText="1"/>
      <protection locked="0"/>
    </xf>
    <xf numFmtId="0" fontId="21" fillId="7" borderId="26" xfId="0" applyFont="1" applyFill="1" applyBorder="1" applyAlignment="1" applyProtection="1">
      <alignment horizontal="center" vertical="center" wrapText="1"/>
      <protection locked="0"/>
    </xf>
    <xf numFmtId="0" fontId="21" fillId="7" borderId="2" xfId="0" applyFont="1" applyFill="1" applyBorder="1" applyAlignment="1" applyProtection="1">
      <alignment horizontal="center" vertical="center" wrapText="1"/>
      <protection locked="0"/>
    </xf>
    <xf numFmtId="0" fontId="10" fillId="7" borderId="13" xfId="0" applyFont="1" applyFill="1" applyBorder="1" applyAlignment="1">
      <alignment horizontal="center" vertical="top" wrapText="1"/>
    </xf>
    <xf numFmtId="0" fontId="10" fillId="7" borderId="21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justify" vertical="top"/>
      <protection locked="0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52" xfId="0" applyFont="1" applyBorder="1" applyAlignment="1">
      <alignment horizontal="left" vertical="center" wrapText="1"/>
    </xf>
    <xf numFmtId="0" fontId="22" fillId="0" borderId="55" xfId="0" applyFont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22" fillId="0" borderId="48" xfId="0" applyFont="1" applyBorder="1" applyAlignment="1">
      <alignment horizontal="center" vertical="center"/>
    </xf>
    <xf numFmtId="0" fontId="22" fillId="0" borderId="48" xfId="0" applyFont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2" fillId="0" borderId="20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3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8" borderId="35" xfId="0" applyNumberFormat="1" applyFill="1" applyBorder="1" applyAlignment="1">
      <alignment horizontal="center" vertical="center"/>
    </xf>
    <xf numFmtId="10" fontId="0" fillId="8" borderId="41" xfId="0" applyNumberForma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justify" vertical="top" wrapText="1"/>
      <protection locked="0"/>
    </xf>
    <xf numFmtId="0" fontId="16" fillId="7" borderId="1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8" borderId="32" xfId="2" applyNumberFormat="1" applyFont="1" applyFill="1" applyBorder="1" applyAlignment="1">
      <alignment horizontal="center" vertical="center" wrapText="1"/>
    </xf>
    <xf numFmtId="10" fontId="0" fillId="8" borderId="40" xfId="2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top" wrapText="1"/>
      <protection locked="0"/>
    </xf>
    <xf numFmtId="0" fontId="8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2" borderId="26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wrapText="1"/>
      <protection locked="0"/>
    </xf>
    <xf numFmtId="49" fontId="15" fillId="0" borderId="25" xfId="0" applyNumberFormat="1" applyFont="1" applyBorder="1" applyAlignment="1" applyProtection="1">
      <alignment horizontal="left" vertical="center" wrapText="1"/>
      <protection locked="0"/>
    </xf>
    <xf numFmtId="0" fontId="15" fillId="0" borderId="25" xfId="0" applyFont="1" applyBorder="1" applyAlignment="1" applyProtection="1">
      <alignment horizontal="left" vertical="center" wrapText="1"/>
      <protection locked="0"/>
    </xf>
    <xf numFmtId="164" fontId="15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8" fillId="8" borderId="36" xfId="0" applyNumberFormat="1" applyFont="1" applyFill="1" applyBorder="1" applyAlignment="1">
      <alignment horizontal="center" vertical="center"/>
    </xf>
    <xf numFmtId="3" fontId="8" fillId="8" borderId="2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49" fontId="15" fillId="0" borderId="25" xfId="0" applyNumberFormat="1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164" fontId="15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3" fillId="2" borderId="49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3" borderId="48" xfId="3" applyFont="1" applyFill="1" applyBorder="1" applyAlignment="1" applyProtection="1">
      <alignment horizontal="center" vertical="center"/>
      <protection locked="0"/>
    </xf>
    <xf numFmtId="49" fontId="4" fillId="0" borderId="48" xfId="3" applyNumberFormat="1" applyFont="1" applyBorder="1" applyAlignment="1" applyProtection="1">
      <alignment horizontal="center" vertical="center"/>
      <protection locked="0"/>
    </xf>
    <xf numFmtId="0" fontId="4" fillId="0" borderId="48" xfId="3" applyFont="1" applyBorder="1" applyAlignment="1" applyProtection="1">
      <alignment horizontal="center" vertical="center"/>
      <protection locked="0"/>
    </xf>
    <xf numFmtId="0" fontId="4" fillId="3" borderId="48" xfId="0" applyFont="1" applyFill="1" applyBorder="1" applyAlignment="1">
      <alignment horizontal="center" vertical="center"/>
    </xf>
    <xf numFmtId="164" fontId="5" fillId="0" borderId="48" xfId="3" applyNumberFormat="1" applyFont="1" applyBorder="1" applyAlignment="1" applyProtection="1">
      <alignment horizontal="center" vertical="center"/>
      <protection locked="0"/>
    </xf>
  </cellXfs>
  <cellStyles count="8">
    <cellStyle name="Normal" xfId="0" builtinId="0"/>
    <cellStyle name="Normal 2" xfId="7" xr:uid="{00000000-0005-0000-0000-000001000000}"/>
    <cellStyle name="Normal_Modelo Planilha Financeira" xfId="3" xr:uid="{00000000-0005-0000-0000-000002000000}"/>
    <cellStyle name="Nota 2" xfId="5" xr:uid="{00000000-0005-0000-0000-000003000000}"/>
    <cellStyle name="Porcentagem" xfId="2" builtinId="5"/>
    <cellStyle name="Porcentagem 8" xfId="4" xr:uid="{00000000-0005-0000-0000-000005000000}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7"/>
  <sheetViews>
    <sheetView showGridLines="0" zoomScale="80" zoomScaleNormal="80" zoomScalePageLayoutView="70" workbookViewId="0">
      <selection activeCell="A30" sqref="A30"/>
    </sheetView>
  </sheetViews>
  <sheetFormatPr defaultColWidth="9.140625" defaultRowHeight="26.25"/>
  <cols>
    <col min="1" max="10" width="16.42578125" style="319" customWidth="1"/>
    <col min="11" max="11" width="20.28515625" style="319" customWidth="1"/>
    <col min="12" max="12" width="16.42578125" style="319" customWidth="1"/>
    <col min="13" max="13" width="17.5703125" style="319" customWidth="1"/>
    <col min="14" max="16384" width="9.140625" style="319"/>
  </cols>
  <sheetData>
    <row r="1" spans="1:17">
      <c r="A1" s="320"/>
      <c r="B1" s="321"/>
      <c r="C1" s="321"/>
      <c r="D1" s="321"/>
      <c r="E1" s="321"/>
      <c r="F1" s="321"/>
      <c r="G1" s="321"/>
      <c r="H1" s="321"/>
      <c r="I1" s="321"/>
      <c r="J1" s="321"/>
      <c r="K1" s="337"/>
    </row>
    <row r="2" spans="1:17" ht="22.5" customHeight="1">
      <c r="A2" s="322"/>
      <c r="B2" s="323"/>
      <c r="C2" s="323"/>
      <c r="D2" s="323"/>
      <c r="E2" s="323"/>
      <c r="F2" s="323"/>
      <c r="G2" s="323"/>
      <c r="H2" s="323"/>
      <c r="I2" s="323"/>
      <c r="J2" s="323"/>
      <c r="K2" s="338"/>
      <c r="L2" s="323"/>
      <c r="M2" s="323"/>
      <c r="N2" s="323"/>
      <c r="O2" s="339"/>
      <c r="P2" s="340"/>
      <c r="Q2" s="340"/>
    </row>
    <row r="3" spans="1:17" ht="31.5">
      <c r="A3" s="440" t="s">
        <v>0</v>
      </c>
      <c r="B3" s="441"/>
      <c r="C3" s="441"/>
      <c r="D3" s="442" t="s">
        <v>1</v>
      </c>
      <c r="E3" s="442"/>
      <c r="F3" s="442"/>
      <c r="G3" s="442"/>
      <c r="H3" s="442"/>
      <c r="I3" s="442"/>
      <c r="J3" s="442"/>
      <c r="K3" s="341"/>
    </row>
    <row r="4" spans="1:17" ht="22.5" customHeight="1">
      <c r="A4" s="324"/>
      <c r="B4" s="325"/>
      <c r="C4" s="325"/>
      <c r="D4" s="325"/>
      <c r="E4" s="325"/>
      <c r="F4" s="325"/>
      <c r="G4" s="325"/>
      <c r="H4" s="325"/>
      <c r="I4" s="325"/>
      <c r="J4" s="325"/>
      <c r="K4" s="341"/>
    </row>
    <row r="5" spans="1:17" ht="31.5">
      <c r="A5" s="440" t="s">
        <v>2</v>
      </c>
      <c r="B5" s="441"/>
      <c r="C5" s="441"/>
      <c r="D5" s="443" t="s">
        <v>3</v>
      </c>
      <c r="E5" s="442"/>
      <c r="F5" s="442"/>
      <c r="G5" s="442"/>
      <c r="H5" s="442"/>
      <c r="I5" s="442"/>
      <c r="J5" s="442"/>
      <c r="K5" s="341"/>
    </row>
    <row r="6" spans="1:17" ht="22.5" customHeight="1">
      <c r="A6" s="324"/>
      <c r="B6" s="326"/>
      <c r="C6" s="326"/>
      <c r="D6" s="326"/>
      <c r="E6" s="326"/>
      <c r="F6" s="326"/>
      <c r="G6" s="326"/>
      <c r="H6" s="326"/>
      <c r="I6" s="326"/>
      <c r="J6" s="326"/>
      <c r="K6" s="341"/>
    </row>
    <row r="7" spans="1:17" ht="22.5" customHeight="1">
      <c r="A7" s="324"/>
      <c r="B7" s="326"/>
      <c r="C7" s="326"/>
      <c r="D7" s="326"/>
      <c r="E7" s="326"/>
      <c r="F7" s="326"/>
      <c r="G7" s="326"/>
      <c r="H7" s="326"/>
      <c r="I7" s="326"/>
      <c r="J7" s="326"/>
      <c r="K7" s="341"/>
    </row>
    <row r="8" spans="1:17" ht="22.5" customHeight="1">
      <c r="A8" s="327"/>
      <c r="B8" s="328"/>
      <c r="C8" s="328"/>
      <c r="D8" s="328"/>
      <c r="E8" s="328"/>
      <c r="F8" s="328"/>
      <c r="G8" s="328"/>
      <c r="H8" s="328"/>
      <c r="I8" s="328"/>
      <c r="J8" s="328"/>
      <c r="K8" s="342"/>
      <c r="L8" s="343"/>
      <c r="M8" s="343"/>
      <c r="N8" s="343"/>
      <c r="O8" s="343"/>
      <c r="P8" s="343"/>
      <c r="Q8" s="343"/>
    </row>
    <row r="9" spans="1:17" ht="22.5" customHeight="1">
      <c r="A9" s="324"/>
      <c r="B9" s="326"/>
      <c r="C9" s="326"/>
      <c r="D9" s="326"/>
      <c r="E9" s="326"/>
      <c r="F9" s="326"/>
      <c r="G9" s="326"/>
      <c r="H9" s="326"/>
      <c r="I9" s="326"/>
      <c r="J9" s="326"/>
      <c r="K9" s="341"/>
    </row>
    <row r="10" spans="1:17" ht="22.5" customHeight="1">
      <c r="A10" s="324"/>
      <c r="B10" s="326"/>
      <c r="C10" s="326"/>
      <c r="D10" s="326"/>
      <c r="E10" s="326"/>
      <c r="F10" s="326"/>
      <c r="G10" s="326"/>
      <c r="H10" s="326"/>
      <c r="I10" s="326"/>
      <c r="J10" s="326"/>
      <c r="K10" s="341"/>
    </row>
    <row r="11" spans="1:17" ht="22.5" customHeight="1">
      <c r="A11" s="324"/>
      <c r="B11" s="326"/>
      <c r="C11" s="326"/>
      <c r="D11" s="326"/>
      <c r="E11" s="326"/>
      <c r="F11" s="326"/>
      <c r="G11" s="326"/>
      <c r="H11" s="326"/>
      <c r="I11" s="326"/>
      <c r="J11" s="326"/>
      <c r="K11" s="341"/>
    </row>
    <row r="12" spans="1:17" ht="22.5" customHeight="1">
      <c r="A12" s="324"/>
      <c r="B12" s="326"/>
      <c r="C12" s="326"/>
      <c r="D12" s="326"/>
      <c r="E12" s="326"/>
      <c r="F12" s="326"/>
      <c r="G12" s="326"/>
      <c r="H12" s="326"/>
      <c r="I12" s="326"/>
      <c r="J12" s="326"/>
      <c r="K12" s="341"/>
    </row>
    <row r="13" spans="1:17" ht="22.5" customHeight="1">
      <c r="A13" s="324"/>
      <c r="B13" s="439" t="s">
        <v>4</v>
      </c>
      <c r="C13" s="439"/>
      <c r="D13" s="439"/>
      <c r="E13" s="439"/>
      <c r="F13" s="439"/>
      <c r="G13" s="439"/>
      <c r="H13" s="439"/>
      <c r="I13" s="439"/>
      <c r="J13" s="439"/>
      <c r="K13" s="341"/>
    </row>
    <row r="14" spans="1:17" ht="22.5" customHeight="1">
      <c r="A14" s="324"/>
      <c r="B14" s="439"/>
      <c r="C14" s="439"/>
      <c r="D14" s="439"/>
      <c r="E14" s="439"/>
      <c r="F14" s="439"/>
      <c r="G14" s="439"/>
      <c r="H14" s="439"/>
      <c r="I14" s="439"/>
      <c r="J14" s="439"/>
      <c r="K14" s="341"/>
    </row>
    <row r="15" spans="1:17" ht="22.5" customHeight="1">
      <c r="A15" s="324"/>
      <c r="B15" s="439"/>
      <c r="C15" s="439"/>
      <c r="D15" s="439"/>
      <c r="E15" s="439"/>
      <c r="F15" s="439"/>
      <c r="G15" s="439"/>
      <c r="H15" s="439"/>
      <c r="I15" s="439"/>
      <c r="J15" s="439"/>
      <c r="K15" s="341"/>
    </row>
    <row r="16" spans="1:17" ht="22.5" customHeight="1">
      <c r="A16" s="324"/>
      <c r="B16" s="439"/>
      <c r="C16" s="439"/>
      <c r="D16" s="439"/>
      <c r="E16" s="439"/>
      <c r="F16" s="439"/>
      <c r="G16" s="439"/>
      <c r="H16" s="439"/>
      <c r="I16" s="439"/>
      <c r="J16" s="439"/>
      <c r="K16" s="341"/>
    </row>
    <row r="17" spans="1:11" ht="22.5" customHeight="1">
      <c r="A17" s="324"/>
      <c r="B17" s="439"/>
      <c r="C17" s="439"/>
      <c r="D17" s="439"/>
      <c r="E17" s="439"/>
      <c r="F17" s="439"/>
      <c r="G17" s="439"/>
      <c r="H17" s="439"/>
      <c r="I17" s="439"/>
      <c r="J17" s="439"/>
      <c r="K17" s="341"/>
    </row>
    <row r="18" spans="1:11" ht="22.5" customHeight="1">
      <c r="A18" s="324"/>
      <c r="B18" s="329"/>
      <c r="C18" s="329"/>
      <c r="D18" s="329"/>
      <c r="E18" s="329"/>
      <c r="F18" s="329"/>
      <c r="G18" s="329"/>
      <c r="H18" s="329"/>
      <c r="I18" s="329"/>
      <c r="J18" s="329"/>
      <c r="K18" s="341"/>
    </row>
    <row r="19" spans="1:11" ht="22.5" customHeight="1">
      <c r="A19" s="324"/>
      <c r="B19" s="329"/>
      <c r="C19" s="329"/>
      <c r="D19" s="329"/>
      <c r="E19" s="329"/>
      <c r="F19" s="329"/>
      <c r="G19" s="329"/>
      <c r="H19" s="329"/>
      <c r="I19" s="329"/>
      <c r="J19" s="329"/>
      <c r="K19" s="341"/>
    </row>
    <row r="20" spans="1:11" ht="22.5" customHeight="1">
      <c r="A20" s="330"/>
      <c r="K20" s="344"/>
    </row>
    <row r="21" spans="1:11">
      <c r="A21" s="444" t="s">
        <v>599</v>
      </c>
      <c r="B21" s="445"/>
      <c r="C21" s="445"/>
      <c r="D21" s="445"/>
      <c r="E21" s="445"/>
      <c r="F21" s="445"/>
      <c r="G21" s="445"/>
      <c r="H21" s="445"/>
      <c r="I21" s="445"/>
      <c r="J21" s="445"/>
      <c r="K21" s="446"/>
    </row>
    <row r="22" spans="1:11" ht="22.5" customHeight="1">
      <c r="A22" s="330"/>
      <c r="K22" s="344"/>
    </row>
    <row r="23" spans="1:11" ht="22.5" customHeight="1">
      <c r="A23" s="330"/>
      <c r="K23" s="344"/>
    </row>
    <row r="24" spans="1:11" ht="22.5" customHeight="1">
      <c r="A24" s="330"/>
      <c r="K24" s="344"/>
    </row>
    <row r="25" spans="1:11" ht="22.5" customHeight="1">
      <c r="A25" s="330"/>
      <c r="K25" s="344"/>
    </row>
    <row r="26" spans="1:11" ht="22.5" customHeight="1">
      <c r="A26" s="331"/>
      <c r="K26" s="344"/>
    </row>
    <row r="27" spans="1:11" ht="22.5" customHeight="1">
      <c r="A27" s="330"/>
      <c r="K27" s="344"/>
    </row>
    <row r="28" spans="1:11" ht="22.5" customHeight="1">
      <c r="A28" s="330"/>
      <c r="K28" s="344"/>
    </row>
    <row r="29" spans="1:11">
      <c r="A29" s="436" t="s">
        <v>600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8"/>
    </row>
    <row r="30" spans="1:11" ht="22.5" customHeight="1">
      <c r="A30" s="332"/>
      <c r="B30" s="333"/>
      <c r="C30" s="333"/>
      <c r="D30" s="333"/>
      <c r="E30" s="333"/>
      <c r="F30" s="333"/>
      <c r="G30" s="333"/>
      <c r="H30" s="333"/>
      <c r="I30" s="333"/>
      <c r="J30" s="333"/>
      <c r="K30" s="345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18" customFormat="1" ht="22.5" customHeight="1"/>
    <row r="45" spans="1:1" ht="22.5" customHeight="1">
      <c r="A45" s="334"/>
    </row>
    <row r="46" spans="1:1" ht="22.5" customHeight="1">
      <c r="A46" s="335"/>
    </row>
    <row r="47" spans="1:1" ht="22.5" customHeight="1">
      <c r="A47" s="336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topLeftCell="A19" zoomScaleNormal="100" zoomScaleSheetLayoutView="90" workbookViewId="0">
      <selection activeCell="B5" sqref="B5"/>
    </sheetView>
  </sheetViews>
  <sheetFormatPr defaultColWidth="9.140625" defaultRowHeight="15"/>
  <cols>
    <col min="1" max="1" width="28.42578125" style="305" customWidth="1"/>
    <col min="2" max="5" width="15.42578125" style="305" customWidth="1"/>
    <col min="6" max="16384" width="9.140625" style="305"/>
  </cols>
  <sheetData>
    <row r="1" spans="1:6" ht="21.95" customHeight="1">
      <c r="A1" s="455" t="s">
        <v>5</v>
      </c>
      <c r="B1" s="456"/>
      <c r="C1" s="456"/>
      <c r="D1" s="456"/>
      <c r="E1" s="456"/>
      <c r="F1" s="456"/>
    </row>
    <row r="2" spans="1:6">
      <c r="A2" s="200"/>
      <c r="B2" s="197"/>
      <c r="C2" s="197"/>
      <c r="D2" s="197"/>
      <c r="E2" s="197"/>
      <c r="F2" s="197"/>
    </row>
    <row r="3" spans="1:6">
      <c r="A3" s="201" t="s">
        <v>6</v>
      </c>
      <c r="B3" s="250" t="s">
        <v>3</v>
      </c>
      <c r="C3" s="250"/>
      <c r="D3" s="250"/>
      <c r="E3" s="251"/>
      <c r="F3" s="251"/>
    </row>
    <row r="4" spans="1:6">
      <c r="A4" s="201" t="s">
        <v>7</v>
      </c>
      <c r="B4" s="276">
        <v>45717</v>
      </c>
      <c r="C4" s="251"/>
      <c r="D4" s="251"/>
      <c r="E4" s="251"/>
      <c r="F4" s="251"/>
    </row>
    <row r="5" spans="1:6">
      <c r="A5" s="226"/>
      <c r="C5" s="197"/>
      <c r="D5" s="197"/>
      <c r="E5" s="197"/>
      <c r="F5" s="197"/>
    </row>
    <row r="6" spans="1:6">
      <c r="A6" s="457" t="s">
        <v>8</v>
      </c>
      <c r="B6" s="458"/>
      <c r="C6" s="458"/>
      <c r="D6" s="458"/>
      <c r="E6" s="459"/>
    </row>
    <row r="7" spans="1:6" ht="27" customHeight="1">
      <c r="A7" s="306" t="s">
        <v>9</v>
      </c>
      <c r="B7" s="307" t="s">
        <v>10</v>
      </c>
      <c r="C7" s="307" t="s">
        <v>11</v>
      </c>
      <c r="D7" s="307" t="s">
        <v>12</v>
      </c>
      <c r="E7" s="308" t="s">
        <v>13</v>
      </c>
    </row>
    <row r="8" spans="1:6" ht="21" customHeight="1">
      <c r="A8" s="309" t="str">
        <f>Assistencial!A8</f>
        <v>1. Clínica Cirúrgica</v>
      </c>
      <c r="B8" s="347">
        <v>35</v>
      </c>
      <c r="C8" s="215">
        <v>0</v>
      </c>
      <c r="D8" s="215">
        <v>0</v>
      </c>
      <c r="E8" s="310">
        <v>0</v>
      </c>
    </row>
    <row r="9" spans="1:6" ht="21" customHeight="1">
      <c r="A9" s="309" t="str">
        <f>Assistencial!A9</f>
        <v>2. Clínica Médica</v>
      </c>
      <c r="B9" s="347">
        <v>34</v>
      </c>
      <c r="C9" s="215">
        <v>0</v>
      </c>
      <c r="D9" s="215">
        <v>0</v>
      </c>
      <c r="E9" s="310">
        <v>0</v>
      </c>
    </row>
    <row r="10" spans="1:6" ht="21" customHeight="1">
      <c r="A10" s="309" t="str">
        <f>Assistencial!A10</f>
        <v>3. Oncologia Clínica</v>
      </c>
      <c r="B10" s="347">
        <v>0</v>
      </c>
      <c r="C10" s="215">
        <v>0</v>
      </c>
      <c r="D10" s="215">
        <v>0</v>
      </c>
      <c r="E10" s="310">
        <v>0</v>
      </c>
    </row>
    <row r="11" spans="1:6" ht="21" customHeight="1">
      <c r="A11" s="309" t="str">
        <f>Assistencial!A11</f>
        <v>4. Oncologia Cirúrgica</v>
      </c>
      <c r="B11" s="347">
        <v>0</v>
      </c>
      <c r="C11" s="215">
        <v>0</v>
      </c>
      <c r="D11" s="215">
        <v>0</v>
      </c>
      <c r="E11" s="310">
        <v>0</v>
      </c>
    </row>
    <row r="12" spans="1:6" ht="21" customHeight="1">
      <c r="A12" s="309" t="str">
        <f>Assistencial!A12</f>
        <v>5. Clínica Gineco/Obstétrica</v>
      </c>
      <c r="B12" s="347">
        <v>7</v>
      </c>
      <c r="C12" s="215">
        <v>0</v>
      </c>
      <c r="D12" s="215">
        <v>0</v>
      </c>
      <c r="E12" s="310">
        <v>0</v>
      </c>
    </row>
    <row r="13" spans="1:6" ht="21" customHeight="1">
      <c r="A13" s="309" t="str">
        <f>Assistencial!A13</f>
        <v>6. Clínica Pediátrica</v>
      </c>
      <c r="B13" s="348">
        <v>6</v>
      </c>
      <c r="C13" s="198">
        <v>0</v>
      </c>
      <c r="D13" s="198">
        <v>0</v>
      </c>
      <c r="E13" s="219">
        <v>0</v>
      </c>
    </row>
    <row r="14" spans="1:6">
      <c r="A14" s="309" t="str">
        <f>Assistencial!A14</f>
        <v>7. UTI Adulto</v>
      </c>
      <c r="B14" s="348">
        <v>10</v>
      </c>
      <c r="C14" s="198">
        <v>0</v>
      </c>
      <c r="D14" s="198">
        <v>0</v>
      </c>
      <c r="E14" s="219">
        <v>0</v>
      </c>
    </row>
    <row r="15" spans="1:6">
      <c r="A15" s="311" t="s">
        <v>14</v>
      </c>
      <c r="B15" s="312">
        <f>SUM(B8:B14)</f>
        <v>92</v>
      </c>
      <c r="C15" s="312">
        <f>SUM(C8:C14)</f>
        <v>0</v>
      </c>
      <c r="D15" s="312">
        <f>SUM(D8:D14)</f>
        <v>0</v>
      </c>
      <c r="E15" s="312">
        <f>SUM(E8:E14)</f>
        <v>0</v>
      </c>
    </row>
    <row r="16" spans="1:6">
      <c r="A16" s="226"/>
    </row>
    <row r="17" spans="1:3">
      <c r="A17" s="226"/>
    </row>
    <row r="18" spans="1:3">
      <c r="A18" s="460" t="s">
        <v>15</v>
      </c>
      <c r="B18" s="461"/>
      <c r="C18" s="462"/>
    </row>
    <row r="19" spans="1:3">
      <c r="A19" s="451" t="s">
        <v>16</v>
      </c>
      <c r="B19" s="452"/>
      <c r="C19" s="313"/>
    </row>
    <row r="20" spans="1:3">
      <c r="A20" s="453" t="s">
        <v>17</v>
      </c>
      <c r="B20" s="454"/>
      <c r="C20" s="349">
        <v>10</v>
      </c>
    </row>
    <row r="21" spans="1:3">
      <c r="A21" s="451" t="s">
        <v>18</v>
      </c>
      <c r="B21" s="452"/>
      <c r="C21" s="350"/>
    </row>
    <row r="22" spans="1:3">
      <c r="A22" s="453" t="s">
        <v>19</v>
      </c>
      <c r="B22" s="454"/>
      <c r="C22" s="349">
        <v>1</v>
      </c>
    </row>
    <row r="23" spans="1:3">
      <c r="A23" s="447" t="s">
        <v>20</v>
      </c>
      <c r="B23" s="448"/>
      <c r="C23" s="349">
        <v>17</v>
      </c>
    </row>
    <row r="24" spans="1:3">
      <c r="A24" s="447" t="s">
        <v>21</v>
      </c>
      <c r="B24" s="448"/>
      <c r="C24" s="349">
        <v>1</v>
      </c>
    </row>
    <row r="25" spans="1:3">
      <c r="A25" s="447" t="s">
        <v>22</v>
      </c>
      <c r="B25" s="448"/>
      <c r="C25" s="349">
        <v>2</v>
      </c>
    </row>
    <row r="26" spans="1:3">
      <c r="A26" s="447" t="s">
        <v>23</v>
      </c>
      <c r="B26" s="448"/>
      <c r="C26" s="349">
        <v>2</v>
      </c>
    </row>
    <row r="27" spans="1:3">
      <c r="A27" s="447" t="s">
        <v>24</v>
      </c>
      <c r="B27" s="448"/>
      <c r="C27" s="349">
        <v>1</v>
      </c>
    </row>
    <row r="28" spans="1:3">
      <c r="A28" s="447" t="s">
        <v>25</v>
      </c>
      <c r="B28" s="448"/>
      <c r="C28" s="349">
        <v>10</v>
      </c>
    </row>
    <row r="29" spans="1:3">
      <c r="A29" s="447" t="s">
        <v>26</v>
      </c>
      <c r="B29" s="448"/>
      <c r="C29" s="349">
        <v>1</v>
      </c>
    </row>
    <row r="30" spans="1:3">
      <c r="A30" s="451" t="s">
        <v>27</v>
      </c>
      <c r="B30" s="452"/>
      <c r="C30" s="350"/>
    </row>
    <row r="31" spans="1:3">
      <c r="A31" s="447" t="s">
        <v>28</v>
      </c>
      <c r="B31" s="448"/>
      <c r="C31" s="349">
        <v>2</v>
      </c>
    </row>
    <row r="32" spans="1:3">
      <c r="A32" s="447" t="s">
        <v>29</v>
      </c>
      <c r="B32" s="448"/>
      <c r="C32" s="349">
        <v>20</v>
      </c>
    </row>
    <row r="33" spans="1:6">
      <c r="A33" s="447" t="s">
        <v>30</v>
      </c>
      <c r="B33" s="448"/>
      <c r="C33" s="349">
        <v>3</v>
      </c>
    </row>
    <row r="34" spans="1:6">
      <c r="A34" s="447" t="s">
        <v>31</v>
      </c>
      <c r="B34" s="448"/>
      <c r="C34" s="349">
        <v>2</v>
      </c>
    </row>
    <row r="35" spans="1:6">
      <c r="A35" s="447" t="s">
        <v>32</v>
      </c>
      <c r="B35" s="448"/>
      <c r="C35" s="349">
        <v>2</v>
      </c>
    </row>
    <row r="36" spans="1:6">
      <c r="A36" s="447" t="s">
        <v>33</v>
      </c>
      <c r="B36" s="448"/>
      <c r="C36" s="349">
        <v>5</v>
      </c>
    </row>
    <row r="37" spans="1:6">
      <c r="A37" s="451" t="s">
        <v>34</v>
      </c>
      <c r="B37" s="452"/>
      <c r="C37" s="350"/>
    </row>
    <row r="38" spans="1:6">
      <c r="A38" s="447" t="s">
        <v>35</v>
      </c>
      <c r="B38" s="448"/>
      <c r="C38" s="351">
        <v>5</v>
      </c>
    </row>
    <row r="39" spans="1:6">
      <c r="A39" s="447" t="s">
        <v>36</v>
      </c>
      <c r="B39" s="448"/>
      <c r="C39" s="351">
        <v>2</v>
      </c>
    </row>
    <row r="40" spans="1:6">
      <c r="A40" s="451" t="s">
        <v>37</v>
      </c>
      <c r="B40" s="452"/>
      <c r="C40" s="350"/>
    </row>
    <row r="41" spans="1:6">
      <c r="A41" s="447" t="s">
        <v>38</v>
      </c>
      <c r="B41" s="448"/>
      <c r="C41" s="351">
        <v>6</v>
      </c>
    </row>
    <row r="42" spans="1:6">
      <c r="A42" s="449" t="s">
        <v>39</v>
      </c>
      <c r="B42" s="450"/>
      <c r="C42" s="314">
        <f>SUM(C19:C41)</f>
        <v>92</v>
      </c>
    </row>
    <row r="43" spans="1:6">
      <c r="A43" s="226"/>
      <c r="C43" s="315" t="str">
        <f>IF(C42+C15+D15+E15=B15,"ok","rever")</f>
        <v>ok</v>
      </c>
    </row>
    <row r="44" spans="1:6">
      <c r="A44" s="316"/>
      <c r="B44" s="317"/>
      <c r="C44" s="317"/>
      <c r="D44" s="317"/>
      <c r="E44" s="317"/>
      <c r="F44" s="317"/>
    </row>
  </sheetData>
  <mergeCells count="27">
    <mergeCell ref="A1:F1"/>
    <mergeCell ref="A6:E6"/>
    <mergeCell ref="A18:C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41:B41"/>
    <mergeCell ref="A42:B42"/>
    <mergeCell ref="A36:B36"/>
    <mergeCell ref="A37:B37"/>
    <mergeCell ref="A38:B38"/>
    <mergeCell ref="A39:B39"/>
    <mergeCell ref="A40:B4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E12" sqref="E12"/>
    </sheetView>
  </sheetViews>
  <sheetFormatPr defaultColWidth="28" defaultRowHeight="22.5" customHeight="1"/>
  <cols>
    <col min="1" max="1" width="26.7109375" style="197" customWidth="1"/>
    <col min="2" max="2" width="13.28515625" style="197" customWidth="1"/>
    <col min="3" max="3" width="14.7109375" style="197" customWidth="1"/>
    <col min="4" max="4" width="14.85546875" style="197" customWidth="1"/>
    <col min="5" max="5" width="28" style="197" customWidth="1"/>
    <col min="6" max="16384" width="28" style="197"/>
  </cols>
  <sheetData>
    <row r="1" spans="1:17" ht="22.5" customHeight="1">
      <c r="A1" s="455" t="s">
        <v>40</v>
      </c>
      <c r="B1" s="456"/>
      <c r="C1" s="456"/>
      <c r="D1" s="456"/>
      <c r="E1" s="456"/>
      <c r="F1" s="468"/>
      <c r="G1" s="199"/>
      <c r="H1" s="199"/>
      <c r="I1" s="199"/>
      <c r="J1" s="199"/>
      <c r="K1" s="199"/>
      <c r="L1" s="199"/>
      <c r="M1" s="199"/>
      <c r="N1" s="199"/>
      <c r="O1" s="221"/>
      <c r="P1" s="222"/>
      <c r="Q1" s="222"/>
    </row>
    <row r="2" spans="1:17" ht="22.5" customHeight="1">
      <c r="A2" s="200"/>
      <c r="F2" s="262"/>
    </row>
    <row r="3" spans="1:17" ht="22.5" customHeight="1">
      <c r="A3" s="201" t="s">
        <v>6</v>
      </c>
      <c r="B3" s="469" t="s">
        <v>3</v>
      </c>
      <c r="C3" s="469"/>
      <c r="D3" s="469"/>
      <c r="E3" s="469"/>
      <c r="F3" s="262"/>
    </row>
    <row r="4" spans="1:17" ht="22.5" customHeight="1">
      <c r="A4" s="201" t="s">
        <v>7</v>
      </c>
      <c r="B4" s="470">
        <f>Leitos!B4</f>
        <v>45717</v>
      </c>
      <c r="C4" s="470"/>
      <c r="D4" s="470"/>
      <c r="E4" s="470"/>
      <c r="F4" s="262"/>
    </row>
    <row r="5" spans="1:17" ht="22.5" customHeight="1">
      <c r="A5" s="200"/>
      <c r="F5" s="262"/>
    </row>
    <row r="6" spans="1:17" ht="22.5" customHeight="1">
      <c r="A6" s="471" t="s">
        <v>41</v>
      </c>
      <c r="B6" s="472"/>
      <c r="C6" s="472"/>
      <c r="D6" s="472"/>
      <c r="E6" s="472"/>
      <c r="F6" s="473"/>
    </row>
    <row r="7" spans="1:17" ht="22.5" customHeight="1">
      <c r="A7" s="474"/>
      <c r="B7" s="475"/>
      <c r="C7" s="475"/>
      <c r="D7" s="475"/>
      <c r="F7" s="301" t="s">
        <v>42</v>
      </c>
    </row>
    <row r="8" spans="1:17" ht="22.5" customHeight="1">
      <c r="A8" s="463" t="s">
        <v>43</v>
      </c>
      <c r="B8" s="464"/>
      <c r="C8" s="464"/>
      <c r="D8" s="464"/>
      <c r="E8" s="464"/>
      <c r="F8" s="302">
        <v>3270</v>
      </c>
    </row>
    <row r="9" spans="1:17" ht="22.5" customHeight="1">
      <c r="A9" s="463" t="s">
        <v>44</v>
      </c>
      <c r="B9" s="464"/>
      <c r="C9" s="464"/>
      <c r="D9" s="464"/>
      <c r="E9" s="464"/>
      <c r="F9" s="219">
        <v>453</v>
      </c>
    </row>
    <row r="10" spans="1:17" ht="22.5" customHeight="1">
      <c r="A10" s="465" t="s">
        <v>14</v>
      </c>
      <c r="B10" s="466"/>
      <c r="C10" s="466"/>
      <c r="D10" s="466"/>
      <c r="E10" s="303"/>
      <c r="F10" s="230">
        <f>SUM(F8:F9)</f>
        <v>3723</v>
      </c>
    </row>
    <row r="11" spans="1:17" ht="50.1" customHeight="1">
      <c r="A11" s="463" t="s">
        <v>45</v>
      </c>
      <c r="B11" s="464"/>
      <c r="C11" s="464"/>
      <c r="D11" s="464"/>
      <c r="E11" s="464"/>
      <c r="F11" s="467"/>
    </row>
    <row r="12" spans="1:17" ht="22.5" customHeight="1">
      <c r="A12" s="200"/>
      <c r="F12" s="262"/>
    </row>
    <row r="13" spans="1:17" ht="22.5" customHeight="1">
      <c r="A13" s="200"/>
      <c r="F13" s="262"/>
    </row>
    <row r="14" spans="1:17" ht="22.5" customHeight="1">
      <c r="A14" s="200"/>
      <c r="F14" s="262"/>
    </row>
    <row r="15" spans="1:17" ht="22.5" customHeight="1">
      <c r="A15" s="200"/>
      <c r="F15" s="262"/>
    </row>
    <row r="16" spans="1:17" ht="22.5" customHeight="1">
      <c r="A16" s="200"/>
      <c r="F16" s="262"/>
    </row>
    <row r="17" spans="1:6" ht="22.5" customHeight="1">
      <c r="A17" s="200"/>
      <c r="F17" s="262"/>
    </row>
    <row r="18" spans="1:6" ht="22.5" customHeight="1">
      <c r="A18" s="304"/>
      <c r="B18" s="303"/>
      <c r="C18" s="303"/>
      <c r="D18" s="303"/>
      <c r="E18" s="303"/>
      <c r="F18" s="264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tabSelected="1" view="pageLayout" zoomScaleNormal="100" zoomScaleSheetLayoutView="90" workbookViewId="0">
      <selection activeCell="F8" sqref="F8:F13"/>
    </sheetView>
  </sheetViews>
  <sheetFormatPr defaultColWidth="28" defaultRowHeight="15"/>
  <cols>
    <col min="1" max="1" width="26.7109375" style="197" customWidth="1"/>
    <col min="2" max="2" width="13.28515625" style="197" customWidth="1"/>
    <col min="3" max="3" width="14.7109375" style="197" customWidth="1"/>
    <col min="4" max="4" width="19.28515625" style="197" customWidth="1"/>
    <col min="5" max="5" width="21" style="197" customWidth="1"/>
    <col min="6" max="6" width="19" style="197" customWidth="1"/>
    <col min="7" max="8" width="22.85546875" style="197" customWidth="1"/>
    <col min="9" max="9" width="19" style="197" customWidth="1"/>
    <col min="10" max="10" width="28" style="197" customWidth="1"/>
    <col min="11" max="16384" width="28" style="197"/>
  </cols>
  <sheetData>
    <row r="1" spans="1:22">
      <c r="A1" s="455" t="s">
        <v>5</v>
      </c>
      <c r="B1" s="456"/>
      <c r="C1" s="456"/>
      <c r="D1" s="456"/>
      <c r="E1" s="456"/>
      <c r="F1" s="456"/>
      <c r="G1" s="456"/>
      <c r="H1" s="456"/>
      <c r="I1" s="468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221"/>
      <c r="U1" s="222"/>
      <c r="V1" s="222"/>
    </row>
    <row r="2" spans="1:22">
      <c r="A2" s="200"/>
      <c r="I2" s="262"/>
    </row>
    <row r="3" spans="1:22">
      <c r="A3" s="201" t="s">
        <v>6</v>
      </c>
      <c r="B3" s="250" t="s">
        <v>3</v>
      </c>
      <c r="C3" s="250"/>
      <c r="D3" s="250"/>
      <c r="E3" s="251"/>
      <c r="F3" s="251"/>
      <c r="G3" s="274" t="s">
        <v>46</v>
      </c>
      <c r="H3" s="275">
        <v>6683134</v>
      </c>
      <c r="I3" s="262"/>
    </row>
    <row r="4" spans="1:22" ht="18" customHeight="1">
      <c r="A4" s="201" t="s">
        <v>7</v>
      </c>
      <c r="B4" s="276">
        <v>45717</v>
      </c>
      <c r="I4" s="262"/>
    </row>
    <row r="5" spans="1:22">
      <c r="A5" s="200"/>
      <c r="I5" s="262"/>
    </row>
    <row r="6" spans="1:22" ht="21" customHeight="1">
      <c r="A6" s="480" t="s">
        <v>47</v>
      </c>
      <c r="B6" s="481"/>
      <c r="C6" s="481"/>
      <c r="D6" s="481"/>
      <c r="E6" s="481"/>
      <c r="F6" s="481"/>
      <c r="G6" s="481"/>
      <c r="H6" s="481"/>
      <c r="I6" s="482"/>
    </row>
    <row r="7" spans="1:22" ht="30">
      <c r="A7" s="277" t="s">
        <v>9</v>
      </c>
      <c r="B7" s="278" t="s">
        <v>48</v>
      </c>
      <c r="C7" s="278" t="s">
        <v>49</v>
      </c>
      <c r="D7" s="278" t="s">
        <v>50</v>
      </c>
      <c r="E7" s="278" t="s">
        <v>51</v>
      </c>
      <c r="F7" s="278" t="s">
        <v>52</v>
      </c>
      <c r="G7" s="278" t="s">
        <v>53</v>
      </c>
      <c r="H7" s="278" t="s">
        <v>54</v>
      </c>
      <c r="I7" s="282" t="s">
        <v>55</v>
      </c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</row>
    <row r="8" spans="1:22">
      <c r="A8" s="258" t="s">
        <v>56</v>
      </c>
      <c r="B8" s="215">
        <f>262-57-7</f>
        <v>198</v>
      </c>
      <c r="C8" s="215">
        <v>7</v>
      </c>
      <c r="D8" s="215">
        <v>0</v>
      </c>
      <c r="E8" s="215">
        <v>0</v>
      </c>
      <c r="F8" s="279">
        <f>SUM(B8:E8)</f>
        <v>205</v>
      </c>
      <c r="G8" s="263" t="s">
        <v>57</v>
      </c>
      <c r="H8" s="257">
        <f>775+31</f>
        <v>806</v>
      </c>
      <c r="I8" s="300">
        <v>666</v>
      </c>
    </row>
    <row r="9" spans="1:22">
      <c r="A9" s="258" t="s">
        <v>58</v>
      </c>
      <c r="B9" s="215">
        <f>266-10-21-6-10</f>
        <v>219</v>
      </c>
      <c r="C9" s="215">
        <v>21</v>
      </c>
      <c r="D9" s="215">
        <v>6</v>
      </c>
      <c r="E9" s="215">
        <v>10</v>
      </c>
      <c r="F9" s="279">
        <v>254</v>
      </c>
      <c r="G9" s="263" t="s">
        <v>57</v>
      </c>
      <c r="H9" s="257">
        <v>806</v>
      </c>
      <c r="I9" s="300">
        <v>906</v>
      </c>
    </row>
    <row r="10" spans="1:22">
      <c r="A10" s="258" t="s">
        <v>59</v>
      </c>
      <c r="B10" s="215">
        <f>10-4</f>
        <v>6</v>
      </c>
      <c r="C10" s="215">
        <v>0</v>
      </c>
      <c r="D10" s="215">
        <v>0</v>
      </c>
      <c r="E10" s="215">
        <v>4</v>
      </c>
      <c r="F10" s="279">
        <f t="shared" ref="F10:F13" si="0">SUM(B10:E10)</f>
        <v>10</v>
      </c>
      <c r="G10" s="263" t="s">
        <v>57</v>
      </c>
      <c r="H10" s="257">
        <v>169</v>
      </c>
      <c r="I10" s="300">
        <v>116</v>
      </c>
    </row>
    <row r="11" spans="1:22">
      <c r="A11" s="258" t="s">
        <v>60</v>
      </c>
      <c r="B11" s="215">
        <f>57-1</f>
        <v>56</v>
      </c>
      <c r="C11" s="215">
        <v>0</v>
      </c>
      <c r="D11" s="215">
        <v>0</v>
      </c>
      <c r="E11" s="215">
        <v>1</v>
      </c>
      <c r="F11" s="279">
        <f t="shared" si="0"/>
        <v>57</v>
      </c>
      <c r="G11" s="263" t="s">
        <v>57</v>
      </c>
      <c r="H11" s="257">
        <v>296</v>
      </c>
      <c r="I11" s="300">
        <v>232</v>
      </c>
    </row>
    <row r="12" spans="1:22">
      <c r="A12" s="258" t="s">
        <v>61</v>
      </c>
      <c r="B12" s="215">
        <f>113-3</f>
        <v>110</v>
      </c>
      <c r="C12" s="215">
        <v>3</v>
      </c>
      <c r="D12" s="215">
        <v>0</v>
      </c>
      <c r="E12" s="215">
        <v>0</v>
      </c>
      <c r="F12" s="279">
        <f t="shared" si="0"/>
        <v>113</v>
      </c>
      <c r="G12" s="263" t="s">
        <v>57</v>
      </c>
      <c r="H12" s="257">
        <f>465-186</f>
        <v>279</v>
      </c>
      <c r="I12" s="300">
        <f>400-291</f>
        <v>109</v>
      </c>
    </row>
    <row r="13" spans="1:22" ht="15.75" thickBot="1">
      <c r="A13" s="258" t="s">
        <v>62</v>
      </c>
      <c r="B13" s="215">
        <f>77-10</f>
        <v>67</v>
      </c>
      <c r="C13" s="215">
        <v>10</v>
      </c>
      <c r="D13" s="215">
        <v>0</v>
      </c>
      <c r="E13" s="215">
        <v>0</v>
      </c>
      <c r="F13" s="279">
        <f t="shared" si="0"/>
        <v>77</v>
      </c>
      <c r="G13" s="263" t="s">
        <v>57</v>
      </c>
      <c r="H13" s="257">
        <v>186</v>
      </c>
      <c r="I13" s="300">
        <v>291</v>
      </c>
    </row>
    <row r="14" spans="1:22" ht="15.75" thickBot="1">
      <c r="A14" s="277" t="s">
        <v>63</v>
      </c>
      <c r="B14" s="280" t="s">
        <v>57</v>
      </c>
      <c r="C14" s="278">
        <v>2</v>
      </c>
      <c r="D14" s="278">
        <v>3</v>
      </c>
      <c r="E14" s="278">
        <v>12</v>
      </c>
      <c r="F14" s="430">
        <v>16</v>
      </c>
      <c r="G14" s="278">
        <v>27</v>
      </c>
      <c r="H14" s="278">
        <v>310</v>
      </c>
      <c r="I14" s="282">
        <v>285</v>
      </c>
    </row>
    <row r="15" spans="1:22" ht="15.75" thickBot="1">
      <c r="A15" s="228" t="s">
        <v>14</v>
      </c>
      <c r="B15" s="260">
        <f>SUM(B8:B13)</f>
        <v>656</v>
      </c>
      <c r="C15" s="260">
        <f>SUM(C8:C14)</f>
        <v>43</v>
      </c>
      <c r="D15" s="260">
        <f>SUM(D8:D14)</f>
        <v>9</v>
      </c>
      <c r="E15" s="260">
        <f>SUM(E8:E14)</f>
        <v>27</v>
      </c>
      <c r="F15" s="260">
        <f>SUM(F8:F14)</f>
        <v>732</v>
      </c>
      <c r="G15" s="260">
        <f>SUM(G14)</f>
        <v>27</v>
      </c>
      <c r="H15" s="260">
        <f>SUM(H8:H14)</f>
        <v>2852</v>
      </c>
      <c r="I15" s="261">
        <f>SUM(I8:I14)</f>
        <v>2605</v>
      </c>
    </row>
    <row r="16" spans="1:22" ht="41.1" customHeight="1">
      <c r="A16" s="483" t="s">
        <v>64</v>
      </c>
      <c r="B16" s="484"/>
      <c r="C16" s="484"/>
      <c r="D16" s="484"/>
      <c r="E16" s="484"/>
      <c r="F16" s="484"/>
      <c r="G16" s="484"/>
      <c r="H16" s="484"/>
      <c r="I16" s="485"/>
    </row>
    <row r="17" spans="1:9" ht="44.1" customHeight="1">
      <c r="A17" s="486" t="s">
        <v>65</v>
      </c>
      <c r="B17" s="487"/>
      <c r="D17" s="486" t="s">
        <v>66</v>
      </c>
      <c r="E17" s="487"/>
      <c r="G17"/>
      <c r="H17"/>
      <c r="I17" s="262"/>
    </row>
    <row r="18" spans="1:9" ht="15.75" thickBot="1">
      <c r="A18" s="281" t="s">
        <v>9</v>
      </c>
      <c r="B18" s="282" t="s">
        <v>67</v>
      </c>
      <c r="D18" s="281" t="s">
        <v>9</v>
      </c>
      <c r="E18" s="282" t="s">
        <v>68</v>
      </c>
      <c r="G18"/>
      <c r="H18"/>
      <c r="I18" s="262"/>
    </row>
    <row r="19" spans="1:9" ht="21" customHeight="1">
      <c r="A19" s="258" t="str">
        <f t="shared" ref="A19:A24" si="1">A8</f>
        <v>1. Clínica Cirúrgica</v>
      </c>
      <c r="B19" s="252">
        <v>2</v>
      </c>
      <c r="D19" s="258" t="str">
        <f t="shared" ref="D19:D24" si="2">A19</f>
        <v>1. Clínica Cirúrgica</v>
      </c>
      <c r="E19" s="252">
        <v>14</v>
      </c>
      <c r="G19"/>
      <c r="H19"/>
      <c r="I19" s="262"/>
    </row>
    <row r="20" spans="1:9">
      <c r="A20" s="258" t="str">
        <f t="shared" si="1"/>
        <v>2. Clínica Médica</v>
      </c>
      <c r="B20" s="219">
        <v>14</v>
      </c>
      <c r="D20" s="258" t="str">
        <f t="shared" si="2"/>
        <v>2. Clínica Médica</v>
      </c>
      <c r="E20" s="219">
        <v>13</v>
      </c>
      <c r="G20"/>
      <c r="H20"/>
      <c r="I20" s="262"/>
    </row>
    <row r="21" spans="1:9">
      <c r="A21" s="258" t="str">
        <f t="shared" si="1"/>
        <v>3. Oncologia Clínica</v>
      </c>
      <c r="B21" s="219">
        <v>0</v>
      </c>
      <c r="D21" s="258" t="str">
        <f t="shared" si="2"/>
        <v>3. Oncologia Clínica</v>
      </c>
      <c r="E21" s="219">
        <v>0</v>
      </c>
      <c r="G21"/>
      <c r="H21"/>
      <c r="I21" s="262"/>
    </row>
    <row r="22" spans="1:9" ht="30">
      <c r="A22" s="258" t="str">
        <f t="shared" si="1"/>
        <v>4. Oncologia Cirúrgica</v>
      </c>
      <c r="B22" s="219">
        <v>0</v>
      </c>
      <c r="D22" s="258" t="str">
        <f t="shared" si="2"/>
        <v>4. Oncologia Cirúrgica</v>
      </c>
      <c r="E22" s="219">
        <v>0</v>
      </c>
      <c r="G22"/>
      <c r="H22" s="362"/>
      <c r="I22" s="262"/>
    </row>
    <row r="23" spans="1:9" ht="30">
      <c r="A23" s="258" t="str">
        <f t="shared" si="1"/>
        <v>5. Clínica Gineco/Obstétrica</v>
      </c>
      <c r="B23" s="219">
        <v>0</v>
      </c>
      <c r="D23" s="258" t="str">
        <f t="shared" si="2"/>
        <v>5. Clínica Gineco/Obstétrica</v>
      </c>
      <c r="E23" s="219">
        <v>0</v>
      </c>
      <c r="G23"/>
      <c r="H23"/>
      <c r="I23" s="262"/>
    </row>
    <row r="24" spans="1:9">
      <c r="A24" s="258" t="str">
        <f t="shared" si="1"/>
        <v>6. Clínica Pediátrica</v>
      </c>
      <c r="B24" s="219">
        <v>0</v>
      </c>
      <c r="D24" s="258" t="str">
        <f t="shared" si="2"/>
        <v>6. Clínica Pediátrica</v>
      </c>
      <c r="E24" s="219">
        <v>0</v>
      </c>
      <c r="G24"/>
      <c r="H24"/>
      <c r="I24" s="262"/>
    </row>
    <row r="25" spans="1:9" ht="15.75" thickBot="1">
      <c r="A25" s="258" t="s">
        <v>69</v>
      </c>
      <c r="B25" s="219">
        <v>0</v>
      </c>
      <c r="D25" s="228" t="s">
        <v>14</v>
      </c>
      <c r="E25" s="230">
        <f>SUM(E19:E24)</f>
        <v>27</v>
      </c>
      <c r="G25"/>
      <c r="H25"/>
      <c r="I25" s="262"/>
    </row>
    <row r="26" spans="1:9" ht="18" customHeight="1" thickBot="1">
      <c r="A26" s="228" t="s">
        <v>14</v>
      </c>
      <c r="B26" s="230">
        <f>SUM(B19:B25)</f>
        <v>16</v>
      </c>
      <c r="E26" s="283" t="str">
        <f>IF(E25=G14,"OK","REVER")</f>
        <v>OK</v>
      </c>
      <c r="G26"/>
      <c r="H26"/>
      <c r="I26" s="262"/>
    </row>
    <row r="27" spans="1:9">
      <c r="A27" s="200"/>
      <c r="B27" s="283" t="str">
        <f>IF(B26=F14,"OK","REVER")</f>
        <v>OK</v>
      </c>
      <c r="D27"/>
      <c r="E27"/>
      <c r="F27"/>
      <c r="G27"/>
      <c r="H27"/>
      <c r="I27" s="262"/>
    </row>
    <row r="28" spans="1:9">
      <c r="A28" s="200"/>
      <c r="I28" s="262"/>
    </row>
    <row r="29" spans="1:9" ht="17.25" customHeight="1">
      <c r="A29" s="284" t="s">
        <v>70</v>
      </c>
      <c r="B29" s="476" t="s">
        <v>71</v>
      </c>
      <c r="C29" s="477"/>
      <c r="D29" s="476" t="s">
        <v>72</v>
      </c>
      <c r="E29" s="478"/>
      <c r="F29" s="479"/>
    </row>
    <row r="30" spans="1:9" ht="20.25" customHeight="1">
      <c r="A30" s="285"/>
      <c r="B30" s="286" t="s">
        <v>73</v>
      </c>
      <c r="C30" s="286" t="s">
        <v>74</v>
      </c>
      <c r="D30" s="286" t="s">
        <v>75</v>
      </c>
      <c r="E30" s="286" t="s">
        <v>76</v>
      </c>
      <c r="F30" s="287" t="s">
        <v>77</v>
      </c>
    </row>
    <row r="31" spans="1:9" ht="15" customHeight="1">
      <c r="A31" s="288" t="str">
        <f t="shared" ref="A31:A37" si="3">A8</f>
        <v>1. Clínica Cirúrgica</v>
      </c>
      <c r="B31" s="289">
        <f>F8</f>
        <v>205</v>
      </c>
      <c r="C31" s="290">
        <f>B31/$B$38</f>
        <v>0.28005464480874315</v>
      </c>
      <c r="D31" s="291">
        <f>H8</f>
        <v>806</v>
      </c>
      <c r="E31" s="292">
        <f t="shared" ref="E31:E36" si="4">I8/F8</f>
        <v>3.2487804878048783</v>
      </c>
      <c r="F31" s="293">
        <f>I8/H8</f>
        <v>0.82630272952853601</v>
      </c>
    </row>
    <row r="32" spans="1:9">
      <c r="A32" s="288" t="str">
        <f t="shared" si="3"/>
        <v>2. Clínica Médica</v>
      </c>
      <c r="B32" s="289">
        <f t="shared" ref="B32:B37" si="5">F9</f>
        <v>254</v>
      </c>
      <c r="C32" s="290">
        <f t="shared" ref="C32:C38" si="6">B32/$B$38</f>
        <v>0.34699453551912568</v>
      </c>
      <c r="D32" s="291">
        <f t="shared" ref="D32:D37" si="7">H9</f>
        <v>806</v>
      </c>
      <c r="E32" s="292">
        <f t="shared" si="4"/>
        <v>3.5669291338582676</v>
      </c>
      <c r="F32" s="293">
        <f t="shared" ref="F32:F38" si="8">I9/H9</f>
        <v>1.1240694789081886</v>
      </c>
    </row>
    <row r="33" spans="1:9" ht="14.25" customHeight="1">
      <c r="A33" s="288" t="str">
        <f t="shared" si="3"/>
        <v>3. Oncologia Clínica</v>
      </c>
      <c r="B33" s="289">
        <f t="shared" si="5"/>
        <v>10</v>
      </c>
      <c r="C33" s="290">
        <f t="shared" si="6"/>
        <v>1.3661202185792349E-2</v>
      </c>
      <c r="D33" s="291">
        <f t="shared" si="7"/>
        <v>169</v>
      </c>
      <c r="E33" s="292">
        <f t="shared" si="4"/>
        <v>11.6</v>
      </c>
      <c r="F33" s="293">
        <f t="shared" si="8"/>
        <v>0.68639053254437865</v>
      </c>
    </row>
    <row r="34" spans="1:9" ht="14.25" customHeight="1">
      <c r="A34" s="288" t="str">
        <f t="shared" si="3"/>
        <v>4. Oncologia Cirúrgica</v>
      </c>
      <c r="B34" s="289">
        <f t="shared" si="5"/>
        <v>57</v>
      </c>
      <c r="C34" s="290">
        <f t="shared" si="6"/>
        <v>7.7868852459016397E-2</v>
      </c>
      <c r="D34" s="291">
        <f t="shared" si="7"/>
        <v>296</v>
      </c>
      <c r="E34" s="292">
        <f t="shared" si="4"/>
        <v>4.0701754385964914</v>
      </c>
      <c r="F34" s="293">
        <f t="shared" si="8"/>
        <v>0.78378378378378377</v>
      </c>
    </row>
    <row r="35" spans="1:9" ht="15" customHeight="1">
      <c r="A35" s="288" t="str">
        <f t="shared" si="3"/>
        <v>5. Clínica Gineco/Obstétrica</v>
      </c>
      <c r="B35" s="289">
        <f t="shared" si="5"/>
        <v>113</v>
      </c>
      <c r="C35" s="290">
        <f t="shared" si="6"/>
        <v>0.15437158469945356</v>
      </c>
      <c r="D35" s="291">
        <f t="shared" si="7"/>
        <v>279</v>
      </c>
      <c r="E35" s="292">
        <f t="shared" si="4"/>
        <v>0.96460176991150437</v>
      </c>
      <c r="F35" s="293">
        <f t="shared" si="8"/>
        <v>0.39068100358422941</v>
      </c>
    </row>
    <row r="36" spans="1:9">
      <c r="A36" s="288" t="str">
        <f t="shared" si="3"/>
        <v>6. Clínica Pediátrica</v>
      </c>
      <c r="B36" s="289">
        <f t="shared" si="5"/>
        <v>77</v>
      </c>
      <c r="C36" s="290">
        <f t="shared" si="6"/>
        <v>0.1051912568306011</v>
      </c>
      <c r="D36" s="291">
        <f t="shared" si="7"/>
        <v>186</v>
      </c>
      <c r="E36" s="292">
        <f t="shared" si="4"/>
        <v>3.779220779220779</v>
      </c>
      <c r="F36" s="293">
        <f t="shared" si="8"/>
        <v>1.564516129032258</v>
      </c>
    </row>
    <row r="37" spans="1:9">
      <c r="A37" s="288" t="str">
        <f t="shared" si="3"/>
        <v>7. UTI Adulto</v>
      </c>
      <c r="B37" s="289">
        <f t="shared" si="5"/>
        <v>16</v>
      </c>
      <c r="C37" s="290">
        <f t="shared" si="6"/>
        <v>2.185792349726776E-2</v>
      </c>
      <c r="D37" s="291">
        <f t="shared" si="7"/>
        <v>310</v>
      </c>
      <c r="E37" s="294">
        <f>I14/(G14+F14)</f>
        <v>6.6279069767441863</v>
      </c>
      <c r="F37" s="293">
        <f t="shared" si="8"/>
        <v>0.91935483870967738</v>
      </c>
    </row>
    <row r="38" spans="1:9">
      <c r="A38" s="295" t="s">
        <v>14</v>
      </c>
      <c r="B38" s="296">
        <f>SUM(B31:B37)</f>
        <v>732</v>
      </c>
      <c r="C38" s="290">
        <f t="shared" si="6"/>
        <v>1</v>
      </c>
      <c r="D38" s="297">
        <f>SUM(D31:D37)</f>
        <v>2852</v>
      </c>
      <c r="E38" s="296">
        <f>AVERAGE(E31:E37)</f>
        <v>4.8368020837337298</v>
      </c>
      <c r="F38" s="298">
        <f t="shared" si="8"/>
        <v>0.91339410939691446</v>
      </c>
    </row>
    <row r="39" spans="1:9">
      <c r="I39" s="262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0"/>
  <sheetViews>
    <sheetView showGridLines="0" showWhiteSpace="0" topLeftCell="A31" zoomScaleNormal="100" zoomScaleSheetLayoutView="100" zoomScalePageLayoutView="80" workbookViewId="0">
      <selection activeCell="C35" sqref="C35"/>
    </sheetView>
  </sheetViews>
  <sheetFormatPr defaultColWidth="28" defaultRowHeight="19.5" customHeight="1"/>
  <cols>
    <col min="1" max="1" width="39.28515625" style="197" customWidth="1"/>
    <col min="2" max="2" width="24.7109375" style="197" customWidth="1"/>
    <col min="3" max="3" width="18.28515625" style="197" customWidth="1"/>
    <col min="4" max="4" width="19.7109375" style="197" customWidth="1"/>
    <col min="5" max="5" width="20.42578125" style="197" customWidth="1"/>
    <col min="6" max="16384" width="28" style="197"/>
  </cols>
  <sheetData>
    <row r="1" spans="1:13" ht="19.5" customHeight="1">
      <c r="A1" s="455" t="s">
        <v>78</v>
      </c>
      <c r="B1" s="456"/>
      <c r="C1" s="456"/>
      <c r="D1" s="456"/>
      <c r="E1" s="468"/>
      <c r="F1" s="199"/>
      <c r="G1" s="199"/>
      <c r="H1" s="199"/>
      <c r="I1" s="199"/>
      <c r="J1" s="199"/>
      <c r="K1" s="221"/>
      <c r="L1" s="222"/>
      <c r="M1" s="222"/>
    </row>
    <row r="2" spans="1:13" ht="19.5" customHeight="1">
      <c r="A2" s="200"/>
    </row>
    <row r="3" spans="1:13" ht="19.5" customHeight="1">
      <c r="A3" s="201" t="s">
        <v>6</v>
      </c>
      <c r="B3" s="250" t="s">
        <v>3</v>
      </c>
      <c r="C3" s="251"/>
    </row>
    <row r="4" spans="1:13" ht="19.5" customHeight="1">
      <c r="A4" s="201" t="s">
        <v>7</v>
      </c>
      <c r="B4" s="202">
        <v>45717</v>
      </c>
    </row>
    <row r="5" spans="1:13" ht="19.5" customHeight="1">
      <c r="A5" s="200"/>
    </row>
    <row r="6" spans="1:13" ht="19.5" customHeight="1">
      <c r="A6" s="471" t="s">
        <v>79</v>
      </c>
      <c r="B6" s="472"/>
      <c r="C6" s="472"/>
      <c r="D6" s="472"/>
      <c r="E6" s="473"/>
    </row>
    <row r="7" spans="1:13" ht="18" customHeight="1">
      <c r="A7" s="492" t="s">
        <v>80</v>
      </c>
      <c r="B7" s="493"/>
      <c r="C7" s="493"/>
      <c r="D7" s="493"/>
      <c r="E7" s="494"/>
    </row>
    <row r="8" spans="1:13" ht="63" customHeight="1">
      <c r="A8" s="253" t="s">
        <v>81</v>
      </c>
      <c r="B8" s="254" t="s">
        <v>82</v>
      </c>
      <c r="C8" s="254" t="s">
        <v>83</v>
      </c>
      <c r="D8" s="254" t="s">
        <v>84</v>
      </c>
      <c r="E8" s="255" t="s">
        <v>14</v>
      </c>
    </row>
    <row r="9" spans="1:13" ht="19.5" customHeight="1">
      <c r="A9" s="200" t="s">
        <v>85</v>
      </c>
      <c r="B9" s="198">
        <v>35</v>
      </c>
      <c r="C9" s="198">
        <v>0</v>
      </c>
      <c r="D9" s="198">
        <v>45</v>
      </c>
      <c r="E9" s="256">
        <f>SUM(B9:D9)</f>
        <v>80</v>
      </c>
    </row>
    <row r="10" spans="1:13" ht="19.5" customHeight="1">
      <c r="A10" s="200" t="s">
        <v>86</v>
      </c>
      <c r="B10" s="198">
        <v>86</v>
      </c>
      <c r="C10" s="198">
        <v>0</v>
      </c>
      <c r="D10" s="198">
        <f>3+80+6</f>
        <v>89</v>
      </c>
      <c r="E10" s="256">
        <f t="shared" ref="E10:E30" si="0">SUM(B10:D10)</f>
        <v>175</v>
      </c>
    </row>
    <row r="11" spans="1:13" ht="19.5" customHeight="1">
      <c r="A11" s="200" t="s">
        <v>87</v>
      </c>
      <c r="B11" s="198">
        <v>68</v>
      </c>
      <c r="C11" s="198">
        <v>0</v>
      </c>
      <c r="D11" s="198">
        <f>64+76+2+1</f>
        <v>143</v>
      </c>
      <c r="E11" s="256">
        <f t="shared" si="0"/>
        <v>211</v>
      </c>
    </row>
    <row r="12" spans="1:13" ht="19.5" customHeight="1">
      <c r="A12" s="200" t="s">
        <v>88</v>
      </c>
      <c r="B12" s="257">
        <v>62</v>
      </c>
      <c r="C12" s="257">
        <v>0</v>
      </c>
      <c r="D12" s="257">
        <f>80+32+1</f>
        <v>113</v>
      </c>
      <c r="E12" s="256">
        <f t="shared" si="0"/>
        <v>175</v>
      </c>
    </row>
    <row r="13" spans="1:13" ht="19.5" customHeight="1">
      <c r="A13" s="200" t="s">
        <v>89</v>
      </c>
      <c r="B13" s="215">
        <v>0</v>
      </c>
      <c r="C13" s="215">
        <v>0</v>
      </c>
      <c r="D13" s="215">
        <v>4</v>
      </c>
      <c r="E13" s="256">
        <f t="shared" si="0"/>
        <v>4</v>
      </c>
    </row>
    <row r="14" spans="1:13" ht="19.5" customHeight="1">
      <c r="A14" s="200" t="s">
        <v>90</v>
      </c>
      <c r="B14" s="198">
        <v>12</v>
      </c>
      <c r="C14" s="198">
        <v>0</v>
      </c>
      <c r="D14" s="198">
        <v>21</v>
      </c>
      <c r="E14" s="256">
        <f t="shared" si="0"/>
        <v>33</v>
      </c>
    </row>
    <row r="15" spans="1:13" ht="19.5" customHeight="1">
      <c r="A15" s="200" t="s">
        <v>91</v>
      </c>
      <c r="B15" s="215">
        <v>21</v>
      </c>
      <c r="C15" s="215">
        <v>0</v>
      </c>
      <c r="D15" s="215">
        <f>12+4</f>
        <v>16</v>
      </c>
      <c r="E15" s="256">
        <f t="shared" si="0"/>
        <v>37</v>
      </c>
    </row>
    <row r="16" spans="1:13" ht="19.5" customHeight="1">
      <c r="A16" s="200" t="s">
        <v>92</v>
      </c>
      <c r="B16" s="215">
        <v>8</v>
      </c>
      <c r="C16" s="215">
        <v>0</v>
      </c>
      <c r="D16" s="215">
        <v>11</v>
      </c>
      <c r="E16" s="256">
        <f t="shared" si="0"/>
        <v>19</v>
      </c>
    </row>
    <row r="17" spans="1:5" ht="15">
      <c r="A17" s="258" t="s">
        <v>93</v>
      </c>
      <c r="B17" s="198">
        <v>3</v>
      </c>
      <c r="C17" s="198">
        <v>0</v>
      </c>
      <c r="D17" s="198">
        <v>45</v>
      </c>
      <c r="E17" s="256">
        <f t="shared" si="0"/>
        <v>48</v>
      </c>
    </row>
    <row r="18" spans="1:5" ht="19.5" customHeight="1">
      <c r="A18" s="200" t="s">
        <v>94</v>
      </c>
      <c r="B18" s="198">
        <v>9</v>
      </c>
      <c r="C18" s="198">
        <v>0</v>
      </c>
      <c r="D18" s="198">
        <v>9</v>
      </c>
      <c r="E18" s="256">
        <f t="shared" si="0"/>
        <v>18</v>
      </c>
    </row>
    <row r="19" spans="1:5" ht="19.5" customHeight="1">
      <c r="A19" s="200" t="s">
        <v>95</v>
      </c>
      <c r="B19" s="198">
        <v>0</v>
      </c>
      <c r="C19" s="198">
        <v>0</v>
      </c>
      <c r="D19" s="198">
        <v>19</v>
      </c>
      <c r="E19" s="256">
        <f t="shared" si="0"/>
        <v>19</v>
      </c>
    </row>
    <row r="20" spans="1:5" ht="19.5" customHeight="1">
      <c r="A20" s="200" t="s">
        <v>96</v>
      </c>
      <c r="B20" s="198">
        <v>18</v>
      </c>
      <c r="C20" s="198">
        <v>0</v>
      </c>
      <c r="D20" s="198">
        <f>41+22</f>
        <v>63</v>
      </c>
      <c r="E20" s="256">
        <f t="shared" si="0"/>
        <v>81</v>
      </c>
    </row>
    <row r="21" spans="1:5" ht="19.5" customHeight="1">
      <c r="A21" s="200" t="s">
        <v>97</v>
      </c>
      <c r="B21" s="198">
        <v>163</v>
      </c>
      <c r="C21" s="198">
        <v>0</v>
      </c>
      <c r="D21" s="198">
        <f>299+16+1</f>
        <v>316</v>
      </c>
      <c r="E21" s="256">
        <f t="shared" si="0"/>
        <v>479</v>
      </c>
    </row>
    <row r="22" spans="1:5" ht="19.5" customHeight="1">
      <c r="A22" s="200" t="s">
        <v>98</v>
      </c>
      <c r="B22" s="198">
        <v>63</v>
      </c>
      <c r="C22" s="198">
        <v>0</v>
      </c>
      <c r="D22" s="198">
        <v>787</v>
      </c>
      <c r="E22" s="256">
        <f t="shared" si="0"/>
        <v>850</v>
      </c>
    </row>
    <row r="23" spans="1:5" ht="19.5" customHeight="1">
      <c r="A23" s="200" t="s">
        <v>99</v>
      </c>
      <c r="B23" s="198">
        <v>33</v>
      </c>
      <c r="C23" s="198">
        <v>0</v>
      </c>
      <c r="D23" s="198">
        <f>1+1+121+53</f>
        <v>176</v>
      </c>
      <c r="E23" s="256">
        <f t="shared" si="0"/>
        <v>209</v>
      </c>
    </row>
    <row r="24" spans="1:5" ht="19.5" customHeight="1">
      <c r="A24" s="200" t="s">
        <v>100</v>
      </c>
      <c r="B24" s="198">
        <v>277</v>
      </c>
      <c r="C24" s="198">
        <v>0</v>
      </c>
      <c r="D24" s="198">
        <f>57+200+1</f>
        <v>258</v>
      </c>
      <c r="E24" s="256">
        <f t="shared" si="0"/>
        <v>535</v>
      </c>
    </row>
    <row r="25" spans="1:5" ht="19.5" customHeight="1">
      <c r="A25" s="200" t="s">
        <v>101</v>
      </c>
      <c r="B25" s="198">
        <v>76</v>
      </c>
      <c r="C25" s="198">
        <v>0</v>
      </c>
      <c r="D25" s="198">
        <f>62+16</f>
        <v>78</v>
      </c>
      <c r="E25" s="256">
        <f t="shared" si="0"/>
        <v>154</v>
      </c>
    </row>
    <row r="26" spans="1:5" ht="19.5" customHeight="1">
      <c r="A26" s="200" t="s">
        <v>102</v>
      </c>
      <c r="B26" s="198">
        <v>21</v>
      </c>
      <c r="C26" s="198">
        <v>0</v>
      </c>
      <c r="D26" s="198">
        <v>13</v>
      </c>
      <c r="E26" s="256">
        <f t="shared" si="0"/>
        <v>34</v>
      </c>
    </row>
    <row r="27" spans="1:5" ht="19.5" customHeight="1">
      <c r="A27" s="200" t="s">
        <v>103</v>
      </c>
      <c r="B27" s="198">
        <v>0</v>
      </c>
      <c r="C27" s="198">
        <v>0</v>
      </c>
      <c r="D27" s="198">
        <v>52</v>
      </c>
      <c r="E27" s="256">
        <f t="shared" si="0"/>
        <v>52</v>
      </c>
    </row>
    <row r="28" spans="1:5" ht="19.5" customHeight="1">
      <c r="A28" s="200" t="s">
        <v>104</v>
      </c>
      <c r="B28" s="198">
        <v>5</v>
      </c>
      <c r="C28" s="198">
        <v>0</v>
      </c>
      <c r="D28" s="198">
        <v>13</v>
      </c>
      <c r="E28" s="256">
        <f t="shared" si="0"/>
        <v>18</v>
      </c>
    </row>
    <row r="29" spans="1:5" ht="19.5" customHeight="1">
      <c r="A29" s="200" t="s">
        <v>105</v>
      </c>
      <c r="B29" s="198">
        <v>11</v>
      </c>
      <c r="C29" s="198">
        <v>0</v>
      </c>
      <c r="D29" s="198">
        <v>18</v>
      </c>
      <c r="E29" s="256">
        <f t="shared" si="0"/>
        <v>29</v>
      </c>
    </row>
    <row r="30" spans="1:5" ht="15">
      <c r="A30" s="258" t="s">
        <v>106</v>
      </c>
      <c r="B30" s="198">
        <v>33</v>
      </c>
      <c r="C30" s="198">
        <v>0</v>
      </c>
      <c r="D30" s="198">
        <f>23+18+4</f>
        <v>45</v>
      </c>
      <c r="E30" s="256">
        <f t="shared" si="0"/>
        <v>78</v>
      </c>
    </row>
    <row r="31" spans="1:5" ht="19.5" customHeight="1">
      <c r="A31" s="259" t="s">
        <v>14</v>
      </c>
      <c r="B31" s="260">
        <f>SUM(B9:B30)</f>
        <v>1004</v>
      </c>
      <c r="C31" s="260">
        <f>SUM(C9:C30)</f>
        <v>0</v>
      </c>
      <c r="D31" s="260">
        <f>SUM(D9:D30)</f>
        <v>2334</v>
      </c>
      <c r="E31" s="261">
        <f>SUM(E9:E30)</f>
        <v>3338</v>
      </c>
    </row>
    <row r="32" spans="1:5" ht="21" customHeight="1">
      <c r="A32" s="200"/>
      <c r="E32" s="262"/>
    </row>
    <row r="33" spans="1:5" ht="20.100000000000001" customHeight="1">
      <c r="A33" s="495" t="s">
        <v>107</v>
      </c>
      <c r="B33" s="496"/>
      <c r="C33" s="496"/>
      <c r="D33" s="497"/>
      <c r="E33" s="262"/>
    </row>
    <row r="34" spans="1:5" ht="30.95" customHeight="1">
      <c r="A34" s="253" t="s">
        <v>81</v>
      </c>
      <c r="B34" s="254" t="s">
        <v>108</v>
      </c>
      <c r="C34" s="254" t="s">
        <v>109</v>
      </c>
      <c r="D34" s="255" t="s">
        <v>14</v>
      </c>
      <c r="E34" s="262"/>
    </row>
    <row r="35" spans="1:5" ht="45.95" customHeight="1">
      <c r="A35" s="258" t="s">
        <v>110</v>
      </c>
      <c r="B35" s="198">
        <v>9</v>
      </c>
      <c r="C35" s="198">
        <v>8</v>
      </c>
      <c r="D35" s="256">
        <f>SUM(B35:C35)</f>
        <v>17</v>
      </c>
      <c r="E35" s="262"/>
    </row>
    <row r="36" spans="1:5" ht="39.950000000000003" customHeight="1">
      <c r="A36" s="258" t="s">
        <v>111</v>
      </c>
      <c r="B36" s="263" t="s">
        <v>57</v>
      </c>
      <c r="C36" s="198">
        <v>501</v>
      </c>
      <c r="D36" s="256">
        <f>SUM(B36:C36)</f>
        <v>501</v>
      </c>
      <c r="E36" s="262"/>
    </row>
    <row r="37" spans="1:5" ht="19.5" customHeight="1">
      <c r="A37" s="259" t="s">
        <v>14</v>
      </c>
      <c r="B37" s="260">
        <f>SUM(B35:B36)</f>
        <v>9</v>
      </c>
      <c r="C37" s="260">
        <f>SUM(C35:C36)</f>
        <v>509</v>
      </c>
      <c r="D37" s="261">
        <f>SUM(D35:D36)</f>
        <v>518</v>
      </c>
      <c r="E37" s="262"/>
    </row>
    <row r="38" spans="1:5" ht="9" customHeight="1">
      <c r="A38" s="200"/>
      <c r="E38" s="262"/>
    </row>
    <row r="39" spans="1:5" ht="18" customHeight="1">
      <c r="A39" s="495" t="s">
        <v>112</v>
      </c>
      <c r="B39" s="496"/>
      <c r="C39" s="496"/>
      <c r="D39" s="497"/>
      <c r="E39" s="262"/>
    </row>
    <row r="40" spans="1:5" ht="27.95" customHeight="1">
      <c r="A40" s="253" t="s">
        <v>81</v>
      </c>
      <c r="B40" s="254" t="str">
        <f>B34</f>
        <v>Realizado Regulação**</v>
      </c>
      <c r="C40" s="254" t="str">
        <f>C34</f>
        <v>Agenda Interna</v>
      </c>
      <c r="D40" s="255" t="s">
        <v>14</v>
      </c>
      <c r="E40" s="262"/>
    </row>
    <row r="41" spans="1:5" ht="19.5" customHeight="1">
      <c r="A41" s="258" t="s">
        <v>113</v>
      </c>
      <c r="B41" s="198">
        <v>3</v>
      </c>
      <c r="C41" s="198">
        <v>6</v>
      </c>
      <c r="D41" s="256">
        <f>SUM(B41:C41)</f>
        <v>9</v>
      </c>
      <c r="E41" s="262"/>
    </row>
    <row r="42" spans="1:5" ht="19.5" customHeight="1">
      <c r="A42" s="200" t="s">
        <v>114</v>
      </c>
      <c r="B42" s="263" t="s">
        <v>57</v>
      </c>
      <c r="C42" s="198">
        <v>114</v>
      </c>
      <c r="D42" s="256">
        <f>SUM(B42:C42)</f>
        <v>114</v>
      </c>
      <c r="E42" s="262"/>
    </row>
    <row r="43" spans="1:5" ht="19.5" customHeight="1">
      <c r="A43" s="200" t="s">
        <v>115</v>
      </c>
      <c r="B43" s="263" t="s">
        <v>57</v>
      </c>
      <c r="C43" s="198">
        <v>0</v>
      </c>
      <c r="D43" s="256">
        <f>SUM(B43:C43)</f>
        <v>0</v>
      </c>
      <c r="E43" s="262"/>
    </row>
    <row r="44" spans="1:5" ht="19.5" customHeight="1">
      <c r="A44" s="200" t="s">
        <v>116</v>
      </c>
      <c r="B44" s="263" t="s">
        <v>57</v>
      </c>
      <c r="C44" s="198">
        <v>1</v>
      </c>
      <c r="D44" s="256">
        <f>SUM(B44:C44)</f>
        <v>1</v>
      </c>
      <c r="E44" s="262"/>
    </row>
    <row r="45" spans="1:5" ht="19.5" customHeight="1">
      <c r="A45" s="259" t="s">
        <v>14</v>
      </c>
      <c r="B45" s="260">
        <f>SUM(B41:B44)</f>
        <v>3</v>
      </c>
      <c r="C45" s="260">
        <f>SUM(C41:C44)</f>
        <v>121</v>
      </c>
      <c r="D45" s="261">
        <f>SUM(D41:D44)</f>
        <v>124</v>
      </c>
      <c r="E45" s="264"/>
    </row>
    <row r="46" spans="1:5" ht="19.5" customHeight="1">
      <c r="A46" s="200"/>
    </row>
    <row r="47" spans="1:5" ht="19.5" customHeight="1">
      <c r="A47" s="471" t="s">
        <v>117</v>
      </c>
      <c r="B47" s="472"/>
      <c r="C47" s="472"/>
      <c r="D47" s="472"/>
      <c r="E47" s="473"/>
    </row>
    <row r="48" spans="1:5" ht="19.5" customHeight="1">
      <c r="A48" s="486" t="s">
        <v>118</v>
      </c>
      <c r="B48" s="488"/>
      <c r="C48" s="488"/>
      <c r="D48" s="488"/>
      <c r="E48" s="487"/>
    </row>
    <row r="49" spans="1:5" ht="18.95" customHeight="1">
      <c r="A49" s="265"/>
      <c r="B49" s="266"/>
      <c r="C49" s="266"/>
      <c r="D49" s="267"/>
      <c r="E49" s="218"/>
    </row>
    <row r="50" spans="1:5" ht="84" customHeight="1">
      <c r="A50" s="268" t="s">
        <v>81</v>
      </c>
      <c r="B50" s="269" t="s">
        <v>119</v>
      </c>
      <c r="C50" s="269" t="s">
        <v>120</v>
      </c>
      <c r="D50" s="270" t="s">
        <v>121</v>
      </c>
      <c r="E50" s="271" t="s">
        <v>122</v>
      </c>
    </row>
    <row r="51" spans="1:5" ht="19.5" customHeight="1">
      <c r="A51" s="200" t="s">
        <v>86</v>
      </c>
      <c r="B51" s="198">
        <v>120</v>
      </c>
      <c r="C51" s="198">
        <v>105</v>
      </c>
      <c r="D51" s="198">
        <v>86</v>
      </c>
      <c r="E51" s="272">
        <f>C51-D51</f>
        <v>19</v>
      </c>
    </row>
    <row r="52" spans="1:5" ht="19.5" customHeight="1">
      <c r="A52" s="200" t="s">
        <v>87</v>
      </c>
      <c r="B52" s="198">
        <v>70</v>
      </c>
      <c r="C52" s="198">
        <v>70</v>
      </c>
      <c r="D52" s="198">
        <v>68</v>
      </c>
      <c r="E52" s="272">
        <f t="shared" ref="E52:E57" si="1">C52-D52</f>
        <v>2</v>
      </c>
    </row>
    <row r="53" spans="1:5" ht="19.5" customHeight="1">
      <c r="A53" s="200" t="s">
        <v>88</v>
      </c>
      <c r="B53" s="257">
        <v>75</v>
      </c>
      <c r="C53" s="257">
        <v>74</v>
      </c>
      <c r="D53" s="257">
        <v>62</v>
      </c>
      <c r="E53" s="272">
        <f t="shared" si="1"/>
        <v>12</v>
      </c>
    </row>
    <row r="54" spans="1:5" ht="19.5" customHeight="1">
      <c r="A54" s="200" t="s">
        <v>90</v>
      </c>
      <c r="B54" s="198">
        <v>15</v>
      </c>
      <c r="C54" s="198">
        <v>13</v>
      </c>
      <c r="D54" s="198">
        <v>12</v>
      </c>
      <c r="E54" s="272">
        <f t="shared" si="1"/>
        <v>1</v>
      </c>
    </row>
    <row r="55" spans="1:5" ht="19.5" customHeight="1">
      <c r="A55" s="200" t="s">
        <v>91</v>
      </c>
      <c r="B55" s="215">
        <v>25</v>
      </c>
      <c r="C55" s="215">
        <v>25</v>
      </c>
      <c r="D55" s="215">
        <v>21</v>
      </c>
      <c r="E55" s="272">
        <f t="shared" si="1"/>
        <v>4</v>
      </c>
    </row>
    <row r="56" spans="1:5" ht="19.5" customHeight="1">
      <c r="A56" s="200" t="s">
        <v>92</v>
      </c>
      <c r="B56" s="215">
        <v>15</v>
      </c>
      <c r="C56" s="215">
        <v>14</v>
      </c>
      <c r="D56" s="215">
        <v>8</v>
      </c>
      <c r="E56" s="272">
        <f t="shared" si="1"/>
        <v>6</v>
      </c>
    </row>
    <row r="57" spans="1:5" ht="19.5" customHeight="1">
      <c r="A57" s="258" t="s">
        <v>93</v>
      </c>
      <c r="B57" s="198">
        <v>5</v>
      </c>
      <c r="C57" s="198">
        <v>5</v>
      </c>
      <c r="D57" s="198">
        <v>3</v>
      </c>
      <c r="E57" s="272">
        <f t="shared" si="1"/>
        <v>2</v>
      </c>
    </row>
    <row r="58" spans="1:5" ht="19.5" customHeight="1">
      <c r="A58" s="200" t="s">
        <v>95</v>
      </c>
      <c r="B58" s="198">
        <v>0</v>
      </c>
      <c r="C58" s="198">
        <v>0</v>
      </c>
      <c r="D58" s="198">
        <v>0</v>
      </c>
      <c r="E58" s="272">
        <f>C58-D58</f>
        <v>0</v>
      </c>
    </row>
    <row r="59" spans="1:5" ht="19.5" customHeight="1">
      <c r="A59" s="200" t="s">
        <v>96</v>
      </c>
      <c r="B59" s="198">
        <v>25</v>
      </c>
      <c r="C59" s="198">
        <v>23</v>
      </c>
      <c r="D59" s="198">
        <v>18</v>
      </c>
      <c r="E59" s="272">
        <f>C59-D59</f>
        <v>5</v>
      </c>
    </row>
    <row r="60" spans="1:5" ht="19.5" customHeight="1">
      <c r="A60" s="200" t="s">
        <v>97</v>
      </c>
      <c r="B60" s="198">
        <v>300</v>
      </c>
      <c r="C60" s="198">
        <v>182</v>
      </c>
      <c r="D60" s="198">
        <v>163</v>
      </c>
      <c r="E60" s="272">
        <f>C60-D60</f>
        <v>19</v>
      </c>
    </row>
    <row r="61" spans="1:5" ht="19.5" customHeight="1">
      <c r="A61" s="200" t="s">
        <v>123</v>
      </c>
      <c r="B61" s="198">
        <v>126</v>
      </c>
      <c r="C61" s="198">
        <v>103</v>
      </c>
      <c r="D61" s="198">
        <v>96</v>
      </c>
      <c r="E61" s="272">
        <f>C61-D61</f>
        <v>7</v>
      </c>
    </row>
    <row r="62" spans="1:5" ht="19.5" customHeight="1">
      <c r="A62" s="200" t="s">
        <v>100</v>
      </c>
      <c r="B62" s="198">
        <v>300</v>
      </c>
      <c r="C62" s="198">
        <v>295</v>
      </c>
      <c r="D62" s="198">
        <v>277</v>
      </c>
      <c r="E62" s="272">
        <f t="shared" ref="E62:E67" si="2">C62-D62</f>
        <v>18</v>
      </c>
    </row>
    <row r="63" spans="1:5" ht="19.5" customHeight="1">
      <c r="A63" s="200" t="s">
        <v>101</v>
      </c>
      <c r="B63" s="198">
        <v>100</v>
      </c>
      <c r="C63" s="198">
        <v>98</v>
      </c>
      <c r="D63" s="198">
        <v>76</v>
      </c>
      <c r="E63" s="272">
        <f t="shared" si="2"/>
        <v>22</v>
      </c>
    </row>
    <row r="64" spans="1:5" ht="19.5" customHeight="1">
      <c r="A64" s="200" t="s">
        <v>102</v>
      </c>
      <c r="B64" s="198">
        <v>25</v>
      </c>
      <c r="C64" s="198">
        <v>22</v>
      </c>
      <c r="D64" s="198">
        <v>21</v>
      </c>
      <c r="E64" s="272">
        <f t="shared" si="2"/>
        <v>1</v>
      </c>
    </row>
    <row r="65" spans="1:5" ht="19.5" customHeight="1">
      <c r="A65" s="237" t="s">
        <v>104</v>
      </c>
      <c r="B65" s="198">
        <v>10</v>
      </c>
      <c r="C65" s="198">
        <v>9</v>
      </c>
      <c r="D65" s="198">
        <v>5</v>
      </c>
      <c r="E65" s="272">
        <f t="shared" si="2"/>
        <v>4</v>
      </c>
    </row>
    <row r="66" spans="1:5" ht="19.5" customHeight="1">
      <c r="A66" s="200" t="s">
        <v>105</v>
      </c>
      <c r="B66" s="283">
        <v>15</v>
      </c>
      <c r="C66" s="198">
        <v>15</v>
      </c>
      <c r="D66" s="198">
        <v>11</v>
      </c>
      <c r="E66" s="272">
        <f t="shared" si="2"/>
        <v>4</v>
      </c>
    </row>
    <row r="67" spans="1:5" ht="19.5" customHeight="1">
      <c r="A67" s="258" t="s">
        <v>106</v>
      </c>
      <c r="B67" s="283">
        <v>300</v>
      </c>
      <c r="C67" s="198">
        <v>295</v>
      </c>
      <c r="D67" s="198">
        <v>33</v>
      </c>
      <c r="E67" s="272">
        <f t="shared" si="2"/>
        <v>262</v>
      </c>
    </row>
    <row r="68" spans="1:5" ht="19.5" customHeight="1">
      <c r="A68" s="259" t="s">
        <v>14</v>
      </c>
      <c r="B68" s="260">
        <f>SUM(B51:B67)</f>
        <v>1526</v>
      </c>
      <c r="C68" s="260">
        <f>SUM(C51:C67)</f>
        <v>1348</v>
      </c>
      <c r="D68" s="260">
        <f>SUM(D51:D67)</f>
        <v>960</v>
      </c>
      <c r="E68" s="261">
        <f>SUM(E51:E67)</f>
        <v>388</v>
      </c>
    </row>
    <row r="69" spans="1:5" ht="19.5" customHeight="1">
      <c r="A69" s="200"/>
      <c r="D69" s="198"/>
      <c r="E69" s="262"/>
    </row>
    <row r="70" spans="1:5" ht="19.5" customHeight="1">
      <c r="A70" s="489" t="s">
        <v>124</v>
      </c>
      <c r="B70" s="490"/>
      <c r="C70" s="490"/>
      <c r="D70" s="490"/>
      <c r="E70" s="491"/>
    </row>
    <row r="71" spans="1:5" ht="104.1" customHeight="1">
      <c r="A71" s="253" t="s">
        <v>81</v>
      </c>
      <c r="B71" s="254" t="str">
        <f>B50</f>
        <v>Nº de Consultas disponibilizadas para Regulação</v>
      </c>
      <c r="C71" s="254" t="str">
        <f>C50</f>
        <v>Nº de Consultas agendadas com os pacientes oriundos da Regulação</v>
      </c>
      <c r="D71" s="254" t="str">
        <f>D50</f>
        <v>Nº de Consultas Realizadas com os pacientes oriundos da Regulação**</v>
      </c>
      <c r="E71" s="273" t="str">
        <f>E50</f>
        <v>Nº de Pacientes Faltantes oriundos do agendamento da Regulação</v>
      </c>
    </row>
    <row r="72" spans="1:5" ht="51" customHeight="1">
      <c r="A72" s="258" t="s">
        <v>110</v>
      </c>
      <c r="B72" s="198">
        <v>40</v>
      </c>
      <c r="C72" s="198">
        <v>21</v>
      </c>
      <c r="D72" s="198">
        <v>9</v>
      </c>
      <c r="E72" s="272">
        <f>C72-D72</f>
        <v>12</v>
      </c>
    </row>
    <row r="73" spans="1:5" ht="19.5" customHeight="1">
      <c r="A73" s="259" t="s">
        <v>14</v>
      </c>
      <c r="B73" s="260">
        <f>SUM(B72:B72)</f>
        <v>40</v>
      </c>
      <c r="C73" s="260">
        <f>SUM(C72:C72)</f>
        <v>21</v>
      </c>
      <c r="D73" s="260">
        <f>SUM(D72:D72)</f>
        <v>9</v>
      </c>
      <c r="E73" s="261">
        <f>SUM(E72:E72)</f>
        <v>12</v>
      </c>
    </row>
    <row r="74" spans="1:5" ht="19.5" customHeight="1">
      <c r="A74" s="200"/>
      <c r="E74" s="262"/>
    </row>
    <row r="75" spans="1:5" ht="19.5" customHeight="1">
      <c r="A75" s="489" t="s">
        <v>125</v>
      </c>
      <c r="B75" s="490"/>
      <c r="C75" s="490"/>
      <c r="D75" s="490"/>
      <c r="E75" s="491"/>
    </row>
    <row r="76" spans="1:5" ht="90" customHeight="1">
      <c r="A76" s="253" t="s">
        <v>81</v>
      </c>
      <c r="B76" s="254" t="str">
        <f>B71</f>
        <v>Nº de Consultas disponibilizadas para Regulação</v>
      </c>
      <c r="C76" s="254" t="str">
        <f>C71</f>
        <v>Nº de Consultas agendadas com os pacientes oriundos da Regulação</v>
      </c>
      <c r="D76" s="254" t="str">
        <f>D71</f>
        <v>Nº de Consultas Realizadas com os pacientes oriundos da Regulação**</v>
      </c>
      <c r="E76" s="273" t="str">
        <f>E71</f>
        <v>Nº de Pacientes Faltantes oriundos do agendamento da Regulação</v>
      </c>
    </row>
    <row r="77" spans="1:5" ht="19.5" customHeight="1">
      <c r="A77" s="258" t="s">
        <v>113</v>
      </c>
      <c r="B77" s="198">
        <v>3</v>
      </c>
      <c r="C77" s="198">
        <v>3</v>
      </c>
      <c r="D77" s="198">
        <v>3</v>
      </c>
      <c r="E77" s="272">
        <f>C77-D77</f>
        <v>0</v>
      </c>
    </row>
    <row r="78" spans="1:5" ht="19.5" customHeight="1">
      <c r="A78" s="259" t="s">
        <v>14</v>
      </c>
      <c r="B78" s="260">
        <f>SUM(B77:B77)</f>
        <v>3</v>
      </c>
      <c r="C78" s="260">
        <f>SUM(C77:C77)</f>
        <v>3</v>
      </c>
      <c r="D78" s="260">
        <f>SUM(D77:D77)</f>
        <v>3</v>
      </c>
      <c r="E78" s="261">
        <f>SUM(E77:E77)</f>
        <v>0</v>
      </c>
    </row>
    <row r="80" spans="1:5" ht="19.5" customHeight="1">
      <c r="A80" s="197" t="s">
        <v>535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view="pageBreakPreview" zoomScaleNormal="100" zoomScaleSheetLayoutView="100" workbookViewId="0">
      <selection activeCell="F60" sqref="F60"/>
    </sheetView>
  </sheetViews>
  <sheetFormatPr defaultColWidth="28" defaultRowHeight="18" customHeight="1"/>
  <cols>
    <col min="1" max="1" width="30.85546875" style="197" customWidth="1"/>
    <col min="2" max="2" width="14.7109375" style="197" customWidth="1"/>
    <col min="3" max="3" width="18.28515625" style="197" customWidth="1"/>
    <col min="4" max="4" width="22.5703125" style="197" customWidth="1"/>
    <col min="5" max="16384" width="28" style="197"/>
  </cols>
  <sheetData>
    <row r="1" spans="1:15" ht="19.5" customHeight="1">
      <c r="A1" s="518" t="s">
        <v>126</v>
      </c>
      <c r="B1" s="519"/>
      <c r="C1" s="519"/>
      <c r="D1" s="519"/>
      <c r="E1" s="519"/>
      <c r="F1" s="519"/>
      <c r="G1" s="199"/>
      <c r="H1" s="199"/>
      <c r="I1" s="199"/>
      <c r="J1" s="199"/>
      <c r="K1" s="199"/>
      <c r="L1" s="199"/>
      <c r="M1" s="221"/>
      <c r="N1" s="222"/>
      <c r="O1" s="222"/>
    </row>
    <row r="2" spans="1:15" ht="18" customHeight="1">
      <c r="A2" s="200"/>
    </row>
    <row r="3" spans="1:15" ht="18" customHeight="1">
      <c r="A3" s="201" t="s">
        <v>6</v>
      </c>
      <c r="B3" s="469" t="s">
        <v>3</v>
      </c>
      <c r="C3" s="469"/>
      <c r="D3" s="469"/>
    </row>
    <row r="4" spans="1:15" ht="18" customHeight="1">
      <c r="A4" s="201" t="s">
        <v>7</v>
      </c>
      <c r="B4" s="470">
        <v>45689</v>
      </c>
      <c r="C4" s="470"/>
      <c r="D4" s="470"/>
    </row>
    <row r="6" spans="1:15" ht="18" customHeight="1">
      <c r="A6" s="471" t="s">
        <v>127</v>
      </c>
      <c r="B6" s="472"/>
      <c r="C6" s="472"/>
      <c r="D6" s="473"/>
    </row>
    <row r="7" spans="1:15" ht="48" customHeight="1">
      <c r="A7" s="223"/>
      <c r="B7" s="224" t="s">
        <v>128</v>
      </c>
      <c r="C7" s="224" t="s">
        <v>129</v>
      </c>
      <c r="D7" s="225" t="s">
        <v>518</v>
      </c>
    </row>
    <row r="8" spans="1:15" ht="18" customHeight="1">
      <c r="A8" s="226" t="s">
        <v>130</v>
      </c>
      <c r="B8" s="198">
        <v>72</v>
      </c>
      <c r="C8" s="198">
        <v>32</v>
      </c>
      <c r="D8" s="227">
        <f>SUM(B8:C8)</f>
        <v>104</v>
      </c>
    </row>
    <row r="9" spans="1:15" ht="18" customHeight="1">
      <c r="A9" s="226" t="s">
        <v>131</v>
      </c>
      <c r="B9" s="198">
        <v>216</v>
      </c>
      <c r="C9" s="198">
        <v>15</v>
      </c>
      <c r="D9" s="227">
        <f t="shared" ref="D9:D15" si="0">SUM(B9:C9)</f>
        <v>231</v>
      </c>
    </row>
    <row r="10" spans="1:15" ht="18" customHeight="1">
      <c r="A10" s="226" t="s">
        <v>132</v>
      </c>
      <c r="B10" s="198">
        <v>0</v>
      </c>
      <c r="C10" s="198">
        <v>1032</v>
      </c>
      <c r="D10" s="227">
        <f t="shared" si="0"/>
        <v>1032</v>
      </c>
    </row>
    <row r="11" spans="1:15" ht="18" customHeight="1">
      <c r="A11" s="226" t="s">
        <v>133</v>
      </c>
      <c r="B11" s="198">
        <v>245</v>
      </c>
      <c r="C11" s="198">
        <v>26</v>
      </c>
      <c r="D11" s="227">
        <f t="shared" si="0"/>
        <v>271</v>
      </c>
    </row>
    <row r="12" spans="1:15" ht="18" customHeight="1">
      <c r="A12" s="226" t="s">
        <v>134</v>
      </c>
      <c r="B12" s="198">
        <v>851</v>
      </c>
      <c r="C12" s="198">
        <v>320</v>
      </c>
      <c r="D12" s="227">
        <f t="shared" si="0"/>
        <v>1171</v>
      </c>
    </row>
    <row r="13" spans="1:15" ht="18" customHeight="1">
      <c r="A13" s="226" t="s">
        <v>135</v>
      </c>
      <c r="B13" s="198">
        <v>7</v>
      </c>
      <c r="C13" s="198">
        <v>0</v>
      </c>
      <c r="D13" s="227">
        <f t="shared" si="0"/>
        <v>7</v>
      </c>
    </row>
    <row r="14" spans="1:15" ht="18" customHeight="1">
      <c r="A14" s="226" t="s">
        <v>136</v>
      </c>
      <c r="B14" s="198">
        <v>158</v>
      </c>
      <c r="C14" s="198">
        <v>359</v>
      </c>
      <c r="D14" s="227">
        <f t="shared" si="0"/>
        <v>517</v>
      </c>
    </row>
    <row r="15" spans="1:15" ht="18" customHeight="1">
      <c r="A15" s="226" t="s">
        <v>137</v>
      </c>
      <c r="B15" s="198">
        <v>379</v>
      </c>
      <c r="C15" s="198">
        <v>201</v>
      </c>
      <c r="D15" s="227">
        <f t="shared" si="0"/>
        <v>580</v>
      </c>
    </row>
    <row r="16" spans="1:15" ht="18" customHeight="1">
      <c r="A16" s="228" t="s">
        <v>14</v>
      </c>
      <c r="B16" s="229">
        <f>SUM(B8:B15)</f>
        <v>1928</v>
      </c>
      <c r="C16" s="229">
        <f>SUM(C8:C15)</f>
        <v>1985</v>
      </c>
      <c r="D16" s="230">
        <f>SUM(D8:D15)</f>
        <v>3913</v>
      </c>
    </row>
    <row r="17" spans="1:6" ht="57.95" customHeight="1">
      <c r="A17" s="520" t="s">
        <v>138</v>
      </c>
      <c r="B17" s="520"/>
      <c r="C17" s="520"/>
      <c r="D17" s="520"/>
    </row>
    <row r="18" spans="1:6" ht="15" customHeight="1">
      <c r="A18" s="231"/>
      <c r="B18" s="231"/>
      <c r="C18" s="231"/>
      <c r="D18" s="231"/>
    </row>
    <row r="19" spans="1:6" ht="15" customHeight="1">
      <c r="A19" s="513" t="s">
        <v>139</v>
      </c>
      <c r="B19" s="514"/>
      <c r="C19" s="514"/>
      <c r="D19" s="514"/>
      <c r="E19" s="514"/>
      <c r="F19" s="515"/>
    </row>
    <row r="20" spans="1:6" ht="15" customHeight="1">
      <c r="A20" s="507" t="s">
        <v>81</v>
      </c>
      <c r="B20" s="508"/>
      <c r="C20" s="505" t="s">
        <v>140</v>
      </c>
      <c r="D20" s="505" t="s">
        <v>141</v>
      </c>
      <c r="E20" s="505" t="s">
        <v>142</v>
      </c>
      <c r="F20" s="516" t="s">
        <v>143</v>
      </c>
    </row>
    <row r="21" spans="1:6" ht="32.1" customHeight="1">
      <c r="A21" s="509"/>
      <c r="B21" s="510"/>
      <c r="C21" s="506"/>
      <c r="D21" s="506"/>
      <c r="E21" s="506"/>
      <c r="F21" s="517"/>
    </row>
    <row r="22" spans="1:6" ht="15" customHeight="1">
      <c r="A22" s="498" t="str">
        <f>A8</f>
        <v>Colonoscopia</v>
      </c>
      <c r="B22" s="499"/>
      <c r="C22" s="232">
        <v>100</v>
      </c>
      <c r="D22" s="232">
        <v>86</v>
      </c>
      <c r="E22" s="232">
        <v>72</v>
      </c>
      <c r="F22" s="233">
        <f>D22-E22</f>
        <v>14</v>
      </c>
    </row>
    <row r="23" spans="1:6" ht="15" customHeight="1">
      <c r="A23" s="498" t="str">
        <f t="shared" ref="A23:A30" si="1">A9</f>
        <v>Endoscopia</v>
      </c>
      <c r="B23" s="499"/>
      <c r="C23" s="363">
        <v>250</v>
      </c>
      <c r="D23" s="363">
        <v>240</v>
      </c>
      <c r="E23" s="363">
        <v>216</v>
      </c>
      <c r="F23" s="233">
        <f t="shared" ref="F23:F29" si="2">D23-E23</f>
        <v>24</v>
      </c>
    </row>
    <row r="24" spans="1:6" ht="15" customHeight="1">
      <c r="A24" s="498" t="str">
        <f t="shared" si="1"/>
        <v>Exames de Anatomia Patológica</v>
      </c>
      <c r="B24" s="499"/>
      <c r="C24" s="232">
        <v>0</v>
      </c>
      <c r="D24" s="232">
        <v>0</v>
      </c>
      <c r="E24" s="232">
        <v>0</v>
      </c>
      <c r="F24" s="233">
        <f t="shared" si="2"/>
        <v>0</v>
      </c>
    </row>
    <row r="25" spans="1:6" ht="15" customHeight="1">
      <c r="A25" s="498" t="str">
        <f t="shared" si="1"/>
        <v>Mamografia</v>
      </c>
      <c r="B25" s="499"/>
      <c r="C25" s="232">
        <v>290</v>
      </c>
      <c r="D25" s="232">
        <v>282</v>
      </c>
      <c r="E25" s="232">
        <v>245</v>
      </c>
      <c r="F25" s="233">
        <f t="shared" si="2"/>
        <v>37</v>
      </c>
    </row>
    <row r="26" spans="1:6" ht="15" customHeight="1">
      <c r="A26" s="498" t="str">
        <f t="shared" si="1"/>
        <v>Radiologia</v>
      </c>
      <c r="B26" s="499"/>
      <c r="C26" s="232">
        <v>1000</v>
      </c>
      <c r="D26" s="232">
        <v>990</v>
      </c>
      <c r="E26" s="232">
        <v>851</v>
      </c>
      <c r="F26" s="233">
        <f t="shared" si="2"/>
        <v>139</v>
      </c>
    </row>
    <row r="27" spans="1:6" ht="15" customHeight="1">
      <c r="A27" s="498" t="str">
        <f t="shared" si="1"/>
        <v>Retinografia Colorida Binocular</v>
      </c>
      <c r="B27" s="499"/>
      <c r="C27" s="232">
        <v>10</v>
      </c>
      <c r="D27" s="232">
        <v>9</v>
      </c>
      <c r="E27" s="232">
        <v>7</v>
      </c>
      <c r="F27" s="233">
        <f t="shared" si="2"/>
        <v>2</v>
      </c>
    </row>
    <row r="28" spans="1:6" ht="15" customHeight="1">
      <c r="A28" s="498" t="str">
        <f t="shared" si="1"/>
        <v>Tomografia/Angiotomografia</v>
      </c>
      <c r="B28" s="499"/>
      <c r="C28" s="232">
        <v>210</v>
      </c>
      <c r="D28" s="232">
        <v>127</v>
      </c>
      <c r="E28" s="232">
        <v>158</v>
      </c>
      <c r="F28" s="233">
        <f t="shared" si="2"/>
        <v>-31</v>
      </c>
    </row>
    <row r="29" spans="1:6" ht="15" customHeight="1">
      <c r="A29" s="498" t="str">
        <f t="shared" si="1"/>
        <v>Ultrassonografia</v>
      </c>
      <c r="B29" s="499"/>
      <c r="C29" s="232">
        <v>600</v>
      </c>
      <c r="D29" s="363">
        <v>459</v>
      </c>
      <c r="E29" s="232">
        <v>379</v>
      </c>
      <c r="F29" s="233">
        <f t="shared" si="2"/>
        <v>80</v>
      </c>
    </row>
    <row r="30" spans="1:6" ht="15" customHeight="1">
      <c r="A30" s="511" t="str">
        <f t="shared" si="1"/>
        <v>Total</v>
      </c>
      <c r="B30" s="512"/>
      <c r="C30" s="229">
        <f>SUM(C22:C29)</f>
        <v>2460</v>
      </c>
      <c r="D30" s="229">
        <f>SUM(D22:D29)</f>
        <v>2193</v>
      </c>
      <c r="E30" s="229">
        <f>SUM(E22:E29)</f>
        <v>1928</v>
      </c>
      <c r="F30" s="230">
        <f>SUM(F22:F29)</f>
        <v>265</v>
      </c>
    </row>
    <row r="31" spans="1:6" ht="15" customHeight="1">
      <c r="A31" s="498"/>
      <c r="B31" s="499"/>
      <c r="C31" s="231"/>
      <c r="D31" s="231"/>
    </row>
    <row r="32" spans="1:6" ht="18" customHeight="1">
      <c r="A32" s="500" t="s">
        <v>144</v>
      </c>
      <c r="B32" s="501"/>
      <c r="C32" s="501"/>
      <c r="D32" s="502"/>
    </row>
    <row r="33" spans="1:5" ht="18" customHeight="1">
      <c r="A33" s="234"/>
      <c r="B33" s="235"/>
      <c r="C33" s="235"/>
      <c r="D33" s="236" t="s">
        <v>145</v>
      </c>
    </row>
    <row r="34" spans="1:5" ht="18" customHeight="1">
      <c r="A34" s="237" t="s">
        <v>146</v>
      </c>
      <c r="B34" s="235"/>
      <c r="C34" s="235"/>
      <c r="D34" s="238">
        <v>0</v>
      </c>
    </row>
    <row r="35" spans="1:5" ht="18" customHeight="1">
      <c r="A35" s="237" t="s">
        <v>147</v>
      </c>
      <c r="B35" s="235"/>
      <c r="C35" s="235"/>
      <c r="D35" s="238">
        <v>291</v>
      </c>
    </row>
    <row r="36" spans="1:5" ht="18" customHeight="1">
      <c r="A36" s="237" t="s">
        <v>148</v>
      </c>
      <c r="B36" s="235"/>
      <c r="C36" s="235"/>
      <c r="D36" s="238">
        <v>11</v>
      </c>
    </row>
    <row r="37" spans="1:5" ht="18" customHeight="1">
      <c r="A37" s="237" t="s">
        <v>149</v>
      </c>
      <c r="B37" s="235"/>
      <c r="C37" s="235"/>
      <c r="D37" s="238">
        <v>14</v>
      </c>
    </row>
    <row r="38" spans="1:5" ht="18" customHeight="1">
      <c r="A38" s="237" t="s">
        <v>150</v>
      </c>
      <c r="B38" s="235"/>
      <c r="C38" s="235"/>
      <c r="D38" s="238">
        <v>0</v>
      </c>
      <c r="E38" s="239"/>
    </row>
    <row r="39" spans="1:5" ht="18" customHeight="1">
      <c r="A39" s="237" t="s">
        <v>151</v>
      </c>
      <c r="B39" s="235"/>
      <c r="C39" s="235"/>
      <c r="D39" s="240">
        <v>355</v>
      </c>
    </row>
    <row r="40" spans="1:5" ht="18" customHeight="1">
      <c r="A40" s="237" t="s">
        <v>152</v>
      </c>
      <c r="B40" s="235"/>
      <c r="C40" s="235"/>
      <c r="D40" s="220">
        <v>167</v>
      </c>
    </row>
    <row r="41" spans="1:5" ht="18" customHeight="1">
      <c r="A41" s="241" t="s">
        <v>153</v>
      </c>
      <c r="B41" s="242"/>
      <c r="C41" s="242"/>
      <c r="D41" s="243">
        <v>135</v>
      </c>
    </row>
    <row r="42" spans="1:5" ht="18" customHeight="1">
      <c r="A42" s="237" t="s">
        <v>154</v>
      </c>
      <c r="B42" s="235"/>
      <c r="C42" s="235"/>
      <c r="D42" s="220">
        <v>5972</v>
      </c>
    </row>
    <row r="43" spans="1:5" ht="18" customHeight="1">
      <c r="A43" s="244" t="s">
        <v>14</v>
      </c>
      <c r="B43" s="245"/>
      <c r="C43" s="245"/>
      <c r="D43" s="246">
        <f>SUM(D34:D42)</f>
        <v>6945</v>
      </c>
    </row>
    <row r="44" spans="1:5" ht="18" customHeight="1">
      <c r="A44" s="237"/>
      <c r="B44" s="235"/>
      <c r="C44" s="235"/>
      <c r="D44" s="247"/>
    </row>
    <row r="45" spans="1:5" ht="18" customHeight="1">
      <c r="A45" s="500" t="s">
        <v>155</v>
      </c>
      <c r="B45" s="501"/>
      <c r="C45" s="501"/>
      <c r="D45" s="502"/>
    </row>
    <row r="46" spans="1:5" ht="18" customHeight="1">
      <c r="A46" s="503"/>
      <c r="B46" s="504"/>
      <c r="C46" s="504"/>
      <c r="D46" s="236" t="s">
        <v>145</v>
      </c>
    </row>
    <row r="47" spans="1:5" ht="18" customHeight="1">
      <c r="A47" s="237" t="s">
        <v>146</v>
      </c>
      <c r="B47" s="235"/>
      <c r="C47" s="235"/>
      <c r="D47" s="220">
        <v>0</v>
      </c>
    </row>
    <row r="48" spans="1:5" ht="18" customHeight="1">
      <c r="A48" s="237" t="s">
        <v>147</v>
      </c>
      <c r="B48" s="235"/>
      <c r="C48" s="235"/>
      <c r="D48" s="220">
        <v>83</v>
      </c>
    </row>
    <row r="49" spans="1:5" ht="18" customHeight="1">
      <c r="A49" s="237" t="s">
        <v>148</v>
      </c>
      <c r="B49" s="235"/>
      <c r="C49" s="235"/>
      <c r="D49" s="220">
        <v>3</v>
      </c>
    </row>
    <row r="50" spans="1:5" ht="17.25" customHeight="1">
      <c r="A50" s="237" t="s">
        <v>149</v>
      </c>
      <c r="B50" s="235"/>
      <c r="C50" s="235"/>
      <c r="D50" s="220">
        <v>14</v>
      </c>
    </row>
    <row r="51" spans="1:5" ht="18" customHeight="1">
      <c r="A51" s="237" t="s">
        <v>150</v>
      </c>
      <c r="B51" s="235"/>
      <c r="C51" s="235"/>
      <c r="D51" s="220">
        <v>0</v>
      </c>
    </row>
    <row r="52" spans="1:5" ht="18" customHeight="1">
      <c r="A52" s="237" t="s">
        <v>151</v>
      </c>
      <c r="B52" s="235"/>
      <c r="C52" s="235"/>
      <c r="D52" s="238">
        <v>1563</v>
      </c>
    </row>
    <row r="53" spans="1:5" ht="18" customHeight="1">
      <c r="A53" s="237" t="s">
        <v>152</v>
      </c>
      <c r="B53" s="235"/>
      <c r="C53" s="235"/>
      <c r="D53" s="238">
        <v>856</v>
      </c>
    </row>
    <row r="54" spans="1:5" ht="18" customHeight="1">
      <c r="A54" s="241" t="s">
        <v>153</v>
      </c>
      <c r="B54" s="242"/>
      <c r="C54" s="242"/>
      <c r="D54" s="243">
        <v>120</v>
      </c>
    </row>
    <row r="55" spans="1:5" ht="18" customHeight="1">
      <c r="A55" s="237" t="s">
        <v>154</v>
      </c>
      <c r="B55" s="235"/>
      <c r="C55" s="235"/>
      <c r="D55" s="238">
        <v>12844</v>
      </c>
    </row>
    <row r="56" spans="1:5" ht="18" customHeight="1">
      <c r="A56" s="244" t="s">
        <v>14</v>
      </c>
      <c r="B56" s="245"/>
      <c r="C56" s="245"/>
      <c r="D56" s="246">
        <f>SUM(D47:D55)</f>
        <v>15483</v>
      </c>
    </row>
    <row r="57" spans="1:5" ht="19.5" customHeight="1">
      <c r="A57" s="237"/>
      <c r="B57" s="235"/>
      <c r="C57" s="235"/>
      <c r="D57" s="248"/>
    </row>
    <row r="58" spans="1:5" ht="18" customHeight="1">
      <c r="A58" s="237" t="s">
        <v>637</v>
      </c>
      <c r="B58" s="235"/>
      <c r="C58" s="235"/>
      <c r="D58" s="235"/>
    </row>
    <row r="60" spans="1:5" ht="18" customHeight="1">
      <c r="A60" s="237"/>
      <c r="B60" s="235"/>
      <c r="C60" s="235"/>
      <c r="D60" s="235"/>
    </row>
    <row r="64" spans="1:5" ht="48" customHeight="1">
      <c r="E64" s="249"/>
    </row>
    <row r="65" spans="5:5" ht="18" customHeight="1">
      <c r="E65" s="249"/>
    </row>
    <row r="74" spans="5:5" ht="60" customHeight="1"/>
  </sheetData>
  <mergeCells count="24">
    <mergeCell ref="A1:F1"/>
    <mergeCell ref="B3:D3"/>
    <mergeCell ref="B4:D4"/>
    <mergeCell ref="A6:D6"/>
    <mergeCell ref="A17:D17"/>
    <mergeCell ref="A19:F19"/>
    <mergeCell ref="A22:B22"/>
    <mergeCell ref="A23:B23"/>
    <mergeCell ref="A24:B24"/>
    <mergeCell ref="A25:B25"/>
    <mergeCell ref="E20:E21"/>
    <mergeCell ref="F20:F21"/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27"/>
  <sheetViews>
    <sheetView topLeftCell="A43" zoomScaleNormal="100" zoomScaleSheetLayoutView="100" zoomScalePageLayoutView="80" workbookViewId="0">
      <selection activeCell="C15" sqref="C15"/>
    </sheetView>
  </sheetViews>
  <sheetFormatPr defaultColWidth="9.140625" defaultRowHeight="19.5" customHeight="1"/>
  <cols>
    <col min="1" max="1" width="16.7109375" style="197" customWidth="1"/>
    <col min="2" max="2" width="76.7109375" style="197" customWidth="1"/>
    <col min="3" max="3" width="20.5703125" style="198" customWidth="1"/>
    <col min="4" max="4" width="4.140625" style="197" customWidth="1"/>
    <col min="5" max="16384" width="9.140625" style="197"/>
  </cols>
  <sheetData>
    <row r="1" spans="1:12" ht="19.5" customHeight="1">
      <c r="A1" s="455" t="s">
        <v>156</v>
      </c>
      <c r="B1" s="456"/>
      <c r="C1" s="456"/>
      <c r="D1" s="199"/>
      <c r="E1" s="199"/>
      <c r="F1" s="199"/>
      <c r="G1" s="199"/>
      <c r="H1" s="199"/>
      <c r="I1" s="199"/>
      <c r="J1" s="221"/>
      <c r="K1" s="222"/>
      <c r="L1" s="222"/>
    </row>
    <row r="2" spans="1:12" ht="19.5" customHeight="1">
      <c r="A2" s="200"/>
    </row>
    <row r="3" spans="1:12" ht="19.5" customHeight="1">
      <c r="A3" s="201" t="s">
        <v>6</v>
      </c>
      <c r="B3" s="543" t="s">
        <v>3</v>
      </c>
      <c r="C3" s="543"/>
    </row>
    <row r="4" spans="1:12" ht="19.5" customHeight="1">
      <c r="A4" s="201" t="s">
        <v>7</v>
      </c>
      <c r="B4" s="470">
        <v>45689</v>
      </c>
      <c r="C4" s="470"/>
    </row>
    <row r="5" spans="1:12" ht="19.5" customHeight="1">
      <c r="A5" s="200"/>
    </row>
    <row r="6" spans="1:12" ht="19.5" customHeight="1">
      <c r="A6" s="544" t="s">
        <v>157</v>
      </c>
      <c r="B6" s="545"/>
      <c r="C6" s="546"/>
    </row>
    <row r="7" spans="1:12" ht="19.5" customHeight="1">
      <c r="A7" s="547"/>
      <c r="B7" s="548"/>
      <c r="C7" s="203" t="s">
        <v>42</v>
      </c>
    </row>
    <row r="8" spans="1:12" ht="19.5" customHeight="1">
      <c r="A8" s="549" t="s">
        <v>158</v>
      </c>
      <c r="B8" s="550"/>
      <c r="C8" s="204">
        <v>482</v>
      </c>
    </row>
    <row r="9" spans="1:12" ht="19.5" customHeight="1">
      <c r="A9" s="549" t="s">
        <v>159</v>
      </c>
      <c r="B9" s="550"/>
      <c r="C9" s="204">
        <v>124</v>
      </c>
    </row>
    <row r="10" spans="1:12" ht="19.5" customHeight="1">
      <c r="A10" s="551" t="s">
        <v>160</v>
      </c>
      <c r="B10" s="552"/>
      <c r="C10" s="205">
        <f>SUM(C8:C9)</f>
        <v>606</v>
      </c>
    </row>
    <row r="11" spans="1:12" ht="19.5" customHeight="1">
      <c r="A11" s="206"/>
      <c r="B11" s="207"/>
      <c r="C11" s="207"/>
    </row>
    <row r="12" spans="1:12" ht="19.5" customHeight="1">
      <c r="A12" s="528" t="s">
        <v>161</v>
      </c>
      <c r="B12" s="529"/>
      <c r="C12" s="530"/>
    </row>
    <row r="13" spans="1:12" ht="19.5" customHeight="1" thickBot="1">
      <c r="A13" s="531"/>
      <c r="B13" s="532"/>
      <c r="C13" s="208" t="s">
        <v>42</v>
      </c>
    </row>
    <row r="14" spans="1:12" ht="19.5" customHeight="1">
      <c r="A14" s="553" t="s">
        <v>162</v>
      </c>
      <c r="B14" s="554"/>
      <c r="C14" s="360">
        <v>153</v>
      </c>
      <c r="D14" s="200"/>
    </row>
    <row r="15" spans="1:12" ht="19.5" customHeight="1">
      <c r="A15" s="553" t="s">
        <v>163</v>
      </c>
      <c r="B15" s="554"/>
      <c r="C15" s="361">
        <v>453</v>
      </c>
    </row>
    <row r="16" spans="1:12" ht="19.5" customHeight="1" thickBot="1">
      <c r="A16" s="551" t="s">
        <v>160</v>
      </c>
      <c r="B16" s="552"/>
      <c r="C16" s="209">
        <f>SUM(C14:C15)</f>
        <v>606</v>
      </c>
      <c r="D16" s="210"/>
    </row>
    <row r="17" spans="1:3" ht="48.95" customHeight="1">
      <c r="A17" s="555" t="s">
        <v>164</v>
      </c>
      <c r="B17" s="556"/>
      <c r="C17" s="556"/>
    </row>
    <row r="18" spans="1:3" ht="19.5" customHeight="1">
      <c r="A18" s="557"/>
      <c r="B18" s="558"/>
      <c r="C18" s="211"/>
    </row>
    <row r="19" spans="1:3" ht="19.5" customHeight="1">
      <c r="A19" s="457" t="s">
        <v>165</v>
      </c>
      <c r="B19" s="458"/>
      <c r="C19" s="459"/>
    </row>
    <row r="20" spans="1:3" ht="19.5" customHeight="1">
      <c r="A20" s="537"/>
      <c r="B20" s="538"/>
      <c r="C20" s="212" t="s">
        <v>42</v>
      </c>
    </row>
    <row r="21" spans="1:3" ht="19.5" customHeight="1">
      <c r="A21" s="539" t="s">
        <v>166</v>
      </c>
      <c r="B21" s="540"/>
      <c r="C21" s="213">
        <f>C14/C16</f>
        <v>0.25247524752475248</v>
      </c>
    </row>
    <row r="22" spans="1:3" ht="19.5" customHeight="1">
      <c r="A22" s="541" t="s">
        <v>167</v>
      </c>
      <c r="B22" s="542"/>
      <c r="C22" s="214">
        <f>C15/C16</f>
        <v>0.74752475247524752</v>
      </c>
    </row>
    <row r="23" spans="1:3" ht="19.5" customHeight="1">
      <c r="A23" s="475"/>
      <c r="B23" s="475"/>
      <c r="C23" s="212"/>
    </row>
    <row r="24" spans="1:3" ht="19.5" customHeight="1">
      <c r="A24" s="528" t="s">
        <v>168</v>
      </c>
      <c r="B24" s="529"/>
      <c r="C24" s="530"/>
    </row>
    <row r="25" spans="1:3" ht="19.5" customHeight="1">
      <c r="A25" s="531"/>
      <c r="B25" s="532"/>
      <c r="C25" s="208" t="s">
        <v>42</v>
      </c>
    </row>
    <row r="26" spans="1:3" ht="19.5" customHeight="1">
      <c r="A26" s="533" t="s">
        <v>169</v>
      </c>
      <c r="B26" s="534"/>
      <c r="C26" s="216">
        <v>4</v>
      </c>
    </row>
    <row r="27" spans="1:3" ht="19.5" customHeight="1">
      <c r="A27" s="215"/>
      <c r="B27" s="215"/>
      <c r="C27" s="217"/>
    </row>
    <row r="29" spans="1:3" ht="19.5" customHeight="1">
      <c r="A29" s="535" t="s">
        <v>170</v>
      </c>
      <c r="B29" s="535"/>
      <c r="C29" s="535"/>
    </row>
    <row r="30" spans="1:3" ht="19.5" customHeight="1">
      <c r="A30" s="352" t="s">
        <v>171</v>
      </c>
      <c r="B30" s="353" t="s">
        <v>172</v>
      </c>
      <c r="C30" s="353" t="s">
        <v>42</v>
      </c>
    </row>
    <row r="31" spans="1:3" ht="19.5" customHeight="1">
      <c r="A31" s="354" t="s">
        <v>639</v>
      </c>
      <c r="B31" s="355"/>
      <c r="C31" s="354">
        <v>9</v>
      </c>
    </row>
    <row r="32" spans="1:3" ht="19.5" customHeight="1">
      <c r="A32" s="354" t="s">
        <v>640</v>
      </c>
      <c r="B32" s="355"/>
      <c r="C32" s="354">
        <v>1</v>
      </c>
    </row>
    <row r="33" spans="1:3" ht="19.5" customHeight="1">
      <c r="A33" s="354" t="s">
        <v>641</v>
      </c>
      <c r="B33" s="355"/>
      <c r="C33" s="354">
        <v>1</v>
      </c>
    </row>
    <row r="34" spans="1:3" ht="19.5" customHeight="1">
      <c r="A34" s="354" t="s">
        <v>642</v>
      </c>
      <c r="B34" s="355"/>
      <c r="C34" s="354">
        <v>8</v>
      </c>
    </row>
    <row r="35" spans="1:3" ht="19.5" customHeight="1">
      <c r="A35" s="354" t="s">
        <v>643</v>
      </c>
      <c r="B35" s="355"/>
      <c r="C35" s="354">
        <v>1</v>
      </c>
    </row>
    <row r="36" spans="1:3" ht="19.5" customHeight="1">
      <c r="A36" s="354" t="s">
        <v>644</v>
      </c>
      <c r="B36" s="355"/>
      <c r="C36" s="354">
        <v>1</v>
      </c>
    </row>
    <row r="37" spans="1:3" ht="19.5" customHeight="1">
      <c r="A37" s="354" t="s">
        <v>645</v>
      </c>
      <c r="B37" s="355"/>
      <c r="C37" s="354">
        <v>52</v>
      </c>
    </row>
    <row r="38" spans="1:3" ht="19.5" customHeight="1">
      <c r="A38" s="354" t="s">
        <v>646</v>
      </c>
      <c r="B38" s="355"/>
      <c r="C38" s="354">
        <v>4</v>
      </c>
    </row>
    <row r="39" spans="1:3" ht="19.5" customHeight="1">
      <c r="A39" s="354" t="s">
        <v>647</v>
      </c>
      <c r="B39" s="355"/>
      <c r="C39" s="354">
        <v>3</v>
      </c>
    </row>
    <row r="40" spans="1:3" ht="19.5" customHeight="1">
      <c r="A40" s="354" t="s">
        <v>648</v>
      </c>
      <c r="B40" s="355"/>
      <c r="C40" s="354">
        <v>20</v>
      </c>
    </row>
    <row r="41" spans="1:3" ht="19.5" customHeight="1">
      <c r="A41" s="354" t="s">
        <v>649</v>
      </c>
      <c r="B41" s="355"/>
      <c r="C41" s="354">
        <v>1</v>
      </c>
    </row>
    <row r="42" spans="1:3" ht="19.5" customHeight="1">
      <c r="A42" s="354" t="s">
        <v>650</v>
      </c>
      <c r="B42" s="355"/>
      <c r="C42" s="354">
        <v>1</v>
      </c>
    </row>
    <row r="43" spans="1:3" ht="19.5" customHeight="1">
      <c r="A43" s="354" t="s">
        <v>651</v>
      </c>
      <c r="B43" s="355"/>
      <c r="C43" s="354">
        <v>2</v>
      </c>
    </row>
    <row r="44" spans="1:3" ht="19.5" customHeight="1">
      <c r="A44" s="354" t="s">
        <v>652</v>
      </c>
      <c r="B44" s="355"/>
      <c r="C44" s="354">
        <v>1</v>
      </c>
    </row>
    <row r="45" spans="1:3" ht="19.5" customHeight="1">
      <c r="A45" s="354" t="s">
        <v>653</v>
      </c>
      <c r="B45" s="355"/>
      <c r="C45" s="354">
        <v>1</v>
      </c>
    </row>
    <row r="46" spans="1:3" ht="19.5" customHeight="1">
      <c r="A46" s="354" t="s">
        <v>654</v>
      </c>
      <c r="B46" s="355"/>
      <c r="C46" s="354">
        <v>1</v>
      </c>
    </row>
    <row r="47" spans="1:3" ht="19.5" customHeight="1">
      <c r="A47" s="354" t="s">
        <v>655</v>
      </c>
      <c r="B47" s="355"/>
      <c r="C47" s="354">
        <v>2</v>
      </c>
    </row>
    <row r="48" spans="1:3" ht="19.5" customHeight="1">
      <c r="A48" s="354" t="s">
        <v>656</v>
      </c>
      <c r="B48" s="355"/>
      <c r="C48" s="354">
        <v>1</v>
      </c>
    </row>
    <row r="49" spans="1:3" ht="19.5" customHeight="1">
      <c r="A49" s="354" t="s">
        <v>657</v>
      </c>
      <c r="B49" s="355"/>
      <c r="C49" s="354">
        <v>1</v>
      </c>
    </row>
    <row r="50" spans="1:3" ht="19.5" customHeight="1">
      <c r="A50" s="354" t="s">
        <v>658</v>
      </c>
      <c r="B50" s="355"/>
      <c r="C50" s="354">
        <v>1</v>
      </c>
    </row>
    <row r="51" spans="1:3" ht="19.5" customHeight="1">
      <c r="A51" s="354" t="s">
        <v>659</v>
      </c>
      <c r="B51" s="355"/>
      <c r="C51" s="354">
        <v>1</v>
      </c>
    </row>
    <row r="52" spans="1:3" ht="19.5" customHeight="1">
      <c r="A52" s="354" t="s">
        <v>660</v>
      </c>
      <c r="B52" s="355"/>
      <c r="C52" s="354">
        <v>1</v>
      </c>
    </row>
    <row r="53" spans="1:3" ht="19.5" customHeight="1">
      <c r="A53" s="354" t="s">
        <v>661</v>
      </c>
      <c r="B53" s="355"/>
      <c r="C53" s="354">
        <v>5</v>
      </c>
    </row>
    <row r="54" spans="1:3" ht="19.5" customHeight="1">
      <c r="A54" s="354" t="s">
        <v>662</v>
      </c>
      <c r="B54" s="355"/>
      <c r="C54" s="354">
        <v>1</v>
      </c>
    </row>
    <row r="55" spans="1:3" ht="19.5" customHeight="1">
      <c r="A55" s="354" t="s">
        <v>663</v>
      </c>
      <c r="B55" s="355"/>
      <c r="C55" s="354">
        <v>1</v>
      </c>
    </row>
    <row r="56" spans="1:3" ht="19.5" customHeight="1">
      <c r="A56" s="354" t="s">
        <v>664</v>
      </c>
      <c r="B56" s="355"/>
      <c r="C56" s="354">
        <v>1</v>
      </c>
    </row>
    <row r="57" spans="1:3" ht="19.5" customHeight="1">
      <c r="A57" s="354" t="s">
        <v>665</v>
      </c>
      <c r="B57" s="355"/>
      <c r="C57" s="354">
        <v>1</v>
      </c>
    </row>
    <row r="58" spans="1:3" ht="19.5" customHeight="1">
      <c r="A58" s="354" t="s">
        <v>666</v>
      </c>
      <c r="B58" s="355"/>
      <c r="C58" s="354">
        <v>12</v>
      </c>
    </row>
    <row r="59" spans="1:3" ht="19.5" customHeight="1">
      <c r="A59" s="354" t="s">
        <v>667</v>
      </c>
      <c r="B59" s="355"/>
      <c r="C59" s="354">
        <v>1</v>
      </c>
    </row>
    <row r="60" spans="1:3" ht="19.5" customHeight="1">
      <c r="A60" s="354" t="s">
        <v>668</v>
      </c>
      <c r="B60" s="355"/>
      <c r="C60" s="354">
        <v>1</v>
      </c>
    </row>
    <row r="61" spans="1:3" ht="19.5" customHeight="1">
      <c r="A61" s="354" t="s">
        <v>669</v>
      </c>
      <c r="B61" s="355"/>
      <c r="C61" s="354">
        <v>3</v>
      </c>
    </row>
    <row r="62" spans="1:3" ht="19.5" customHeight="1">
      <c r="A62" s="354" t="s">
        <v>670</v>
      </c>
      <c r="B62" s="355"/>
      <c r="C62" s="354">
        <v>2</v>
      </c>
    </row>
    <row r="63" spans="1:3" ht="19.5" customHeight="1">
      <c r="A63" s="354" t="s">
        <v>671</v>
      </c>
      <c r="B63" s="355"/>
      <c r="C63" s="354">
        <v>3</v>
      </c>
    </row>
    <row r="64" spans="1:3" ht="19.5" customHeight="1">
      <c r="A64" s="354" t="s">
        <v>672</v>
      </c>
      <c r="B64" s="355"/>
      <c r="C64" s="354">
        <v>25</v>
      </c>
    </row>
    <row r="65" spans="1:3" ht="19.5" customHeight="1">
      <c r="A65" s="354" t="s">
        <v>673</v>
      </c>
      <c r="B65" s="355"/>
      <c r="C65" s="354">
        <v>1</v>
      </c>
    </row>
    <row r="66" spans="1:3" ht="19.5" customHeight="1">
      <c r="A66" s="354" t="s">
        <v>674</v>
      </c>
      <c r="B66" s="355"/>
      <c r="C66" s="354">
        <v>1</v>
      </c>
    </row>
    <row r="67" spans="1:3" ht="19.5" customHeight="1">
      <c r="A67" s="354" t="s">
        <v>675</v>
      </c>
      <c r="B67" s="355"/>
      <c r="C67" s="354">
        <v>1</v>
      </c>
    </row>
    <row r="68" spans="1:3" ht="19.5" customHeight="1">
      <c r="A68" s="354" t="s">
        <v>676</v>
      </c>
      <c r="B68" s="355"/>
      <c r="C68" s="354">
        <v>1</v>
      </c>
    </row>
    <row r="69" spans="1:3" ht="19.5" customHeight="1">
      <c r="A69" s="354" t="s">
        <v>677</v>
      </c>
      <c r="B69" s="355"/>
      <c r="C69" s="354">
        <v>2</v>
      </c>
    </row>
    <row r="70" spans="1:3" ht="19.5" customHeight="1">
      <c r="A70" s="354" t="s">
        <v>678</v>
      </c>
      <c r="B70" s="355"/>
      <c r="C70" s="354">
        <v>1</v>
      </c>
    </row>
    <row r="71" spans="1:3" ht="19.5" customHeight="1">
      <c r="A71" s="354" t="s">
        <v>679</v>
      </c>
      <c r="B71" s="355"/>
      <c r="C71" s="354">
        <v>1</v>
      </c>
    </row>
    <row r="72" spans="1:3" ht="19.5" customHeight="1">
      <c r="A72" s="354" t="s">
        <v>680</v>
      </c>
      <c r="B72" s="355"/>
      <c r="C72" s="354">
        <v>1</v>
      </c>
    </row>
    <row r="73" spans="1:3" ht="19.5" customHeight="1">
      <c r="A73" s="354" t="s">
        <v>681</v>
      </c>
      <c r="B73" s="355"/>
      <c r="C73" s="354">
        <v>11</v>
      </c>
    </row>
    <row r="74" spans="1:3" ht="19.5" customHeight="1">
      <c r="A74" s="354" t="s">
        <v>682</v>
      </c>
      <c r="B74" s="355"/>
      <c r="C74" s="354">
        <v>1</v>
      </c>
    </row>
    <row r="75" spans="1:3" ht="19.5" customHeight="1">
      <c r="A75" s="354" t="s">
        <v>683</v>
      </c>
      <c r="B75" s="355"/>
      <c r="C75" s="354">
        <v>2</v>
      </c>
    </row>
    <row r="76" spans="1:3" ht="19.5" customHeight="1">
      <c r="A76" s="354" t="s">
        <v>684</v>
      </c>
      <c r="B76" s="355"/>
      <c r="C76" s="354">
        <v>2</v>
      </c>
    </row>
    <row r="77" spans="1:3" ht="19.5" customHeight="1">
      <c r="A77" s="354" t="s">
        <v>685</v>
      </c>
      <c r="B77" s="355"/>
      <c r="C77" s="354">
        <v>1</v>
      </c>
    </row>
    <row r="78" spans="1:3" ht="19.5" customHeight="1">
      <c r="A78" s="354" t="s">
        <v>686</v>
      </c>
      <c r="B78" s="355"/>
      <c r="C78" s="354">
        <v>1</v>
      </c>
    </row>
    <row r="79" spans="1:3" ht="19.5" customHeight="1">
      <c r="A79" s="354" t="s">
        <v>687</v>
      </c>
      <c r="B79" s="355"/>
      <c r="C79" s="354">
        <v>2</v>
      </c>
    </row>
    <row r="80" spans="1:3" ht="19.5" customHeight="1">
      <c r="A80" s="354" t="s">
        <v>688</v>
      </c>
      <c r="B80" s="355"/>
      <c r="C80" s="354">
        <v>40</v>
      </c>
    </row>
    <row r="81" spans="1:3" ht="19.5" customHeight="1">
      <c r="A81" s="354" t="s">
        <v>689</v>
      </c>
      <c r="B81" s="355"/>
      <c r="C81" s="354">
        <v>1</v>
      </c>
    </row>
    <row r="82" spans="1:3" ht="19.5" customHeight="1">
      <c r="A82" s="354" t="s">
        <v>690</v>
      </c>
      <c r="B82" s="355"/>
      <c r="C82" s="354">
        <v>2</v>
      </c>
    </row>
    <row r="83" spans="1:3" ht="19.5" customHeight="1">
      <c r="A83" s="354" t="s">
        <v>691</v>
      </c>
      <c r="B83" s="355"/>
      <c r="C83" s="354">
        <v>32</v>
      </c>
    </row>
    <row r="84" spans="1:3" ht="19.5" customHeight="1">
      <c r="A84" s="354" t="s">
        <v>692</v>
      </c>
      <c r="B84" s="355"/>
      <c r="C84" s="354">
        <v>4</v>
      </c>
    </row>
    <row r="85" spans="1:3" ht="19.5" customHeight="1">
      <c r="A85" s="354" t="s">
        <v>693</v>
      </c>
      <c r="B85" s="355"/>
      <c r="C85" s="354">
        <v>1</v>
      </c>
    </row>
    <row r="86" spans="1:3" ht="19.5" customHeight="1">
      <c r="A86" s="354" t="s">
        <v>694</v>
      </c>
      <c r="B86" s="355"/>
      <c r="C86" s="354">
        <v>1</v>
      </c>
    </row>
    <row r="87" spans="1:3" ht="19.5" customHeight="1">
      <c r="A87" s="354" t="s">
        <v>695</v>
      </c>
      <c r="B87" s="355"/>
      <c r="C87" s="354">
        <v>3</v>
      </c>
    </row>
    <row r="88" spans="1:3" ht="19.5" customHeight="1">
      <c r="A88" s="354" t="s">
        <v>696</v>
      </c>
      <c r="B88" s="355"/>
      <c r="C88" s="354">
        <v>5</v>
      </c>
    </row>
    <row r="89" spans="1:3" ht="19.5" customHeight="1">
      <c r="A89" s="354" t="s">
        <v>697</v>
      </c>
      <c r="B89" s="355"/>
      <c r="C89" s="354">
        <v>1</v>
      </c>
    </row>
    <row r="90" spans="1:3" ht="19.5" customHeight="1">
      <c r="A90" s="354" t="s">
        <v>698</v>
      </c>
      <c r="B90" s="355"/>
      <c r="C90" s="354">
        <v>16</v>
      </c>
    </row>
    <row r="91" spans="1:3" ht="19.5" customHeight="1">
      <c r="A91" s="354" t="s">
        <v>699</v>
      </c>
      <c r="B91" s="355"/>
      <c r="C91" s="354">
        <v>3</v>
      </c>
    </row>
    <row r="92" spans="1:3" ht="19.5" customHeight="1">
      <c r="A92" s="354" t="s">
        <v>700</v>
      </c>
      <c r="B92" s="355"/>
      <c r="C92" s="354">
        <v>1</v>
      </c>
    </row>
    <row r="93" spans="1:3" ht="19.5" customHeight="1">
      <c r="A93" s="354" t="s">
        <v>701</v>
      </c>
      <c r="B93" s="355"/>
      <c r="C93" s="354">
        <v>1</v>
      </c>
    </row>
    <row r="94" spans="1:3" ht="19.5" customHeight="1">
      <c r="A94" s="354" t="s">
        <v>702</v>
      </c>
      <c r="B94" s="355"/>
      <c r="C94" s="354">
        <v>1</v>
      </c>
    </row>
    <row r="95" spans="1:3" ht="19.5" customHeight="1">
      <c r="A95" s="354" t="s">
        <v>703</v>
      </c>
      <c r="B95" s="355"/>
      <c r="C95" s="354">
        <v>1</v>
      </c>
    </row>
    <row r="96" spans="1:3" ht="19.5" customHeight="1">
      <c r="A96" s="354" t="s">
        <v>704</v>
      </c>
      <c r="B96" s="355"/>
      <c r="C96" s="354">
        <v>1</v>
      </c>
    </row>
    <row r="97" spans="1:3" ht="19.5" customHeight="1">
      <c r="A97" s="354" t="s">
        <v>705</v>
      </c>
      <c r="B97" s="355"/>
      <c r="C97" s="354">
        <v>2</v>
      </c>
    </row>
    <row r="98" spans="1:3" ht="19.5" customHeight="1">
      <c r="A98" s="354" t="s">
        <v>706</v>
      </c>
      <c r="B98" s="355"/>
      <c r="C98" s="354">
        <v>4</v>
      </c>
    </row>
    <row r="99" spans="1:3" ht="19.5" customHeight="1">
      <c r="A99" s="354" t="s">
        <v>707</v>
      </c>
      <c r="B99" s="355"/>
      <c r="C99" s="354">
        <v>3</v>
      </c>
    </row>
    <row r="100" spans="1:3" ht="19.5" customHeight="1">
      <c r="A100" s="354" t="s">
        <v>708</v>
      </c>
      <c r="B100" s="355"/>
      <c r="C100" s="354">
        <v>2</v>
      </c>
    </row>
    <row r="101" spans="1:3" ht="19.5" customHeight="1">
      <c r="A101" s="354" t="s">
        <v>709</v>
      </c>
      <c r="B101" s="355"/>
      <c r="C101" s="354">
        <v>1</v>
      </c>
    </row>
    <row r="102" spans="1:3" ht="19.5" customHeight="1">
      <c r="A102" s="354" t="s">
        <v>710</v>
      </c>
      <c r="B102" s="355"/>
      <c r="C102" s="354">
        <v>5</v>
      </c>
    </row>
    <row r="103" spans="1:3" ht="19.5" customHeight="1">
      <c r="A103" s="354" t="s">
        <v>711</v>
      </c>
      <c r="B103" s="355"/>
      <c r="C103" s="354">
        <v>4</v>
      </c>
    </row>
    <row r="104" spans="1:3" ht="19.5" customHeight="1">
      <c r="A104" s="354" t="s">
        <v>712</v>
      </c>
      <c r="B104" s="355"/>
      <c r="C104" s="354">
        <v>1</v>
      </c>
    </row>
    <row r="105" spans="1:3" ht="19.5" customHeight="1">
      <c r="A105" s="354" t="s">
        <v>713</v>
      </c>
      <c r="B105" s="355"/>
      <c r="C105" s="354">
        <v>2</v>
      </c>
    </row>
    <row r="106" spans="1:3" ht="19.5" customHeight="1">
      <c r="A106" s="354" t="s">
        <v>714</v>
      </c>
      <c r="B106" s="355"/>
      <c r="C106" s="354">
        <v>7</v>
      </c>
    </row>
    <row r="107" spans="1:3" ht="19.5" customHeight="1">
      <c r="A107" s="354" t="s">
        <v>715</v>
      </c>
      <c r="B107" s="355"/>
      <c r="C107" s="354">
        <v>1</v>
      </c>
    </row>
    <row r="108" spans="1:3" ht="19.5" customHeight="1">
      <c r="A108" s="354" t="s">
        <v>716</v>
      </c>
      <c r="B108" s="355"/>
      <c r="C108" s="354">
        <v>1</v>
      </c>
    </row>
    <row r="109" spans="1:3" ht="19.5" customHeight="1">
      <c r="A109" s="354" t="s">
        <v>717</v>
      </c>
      <c r="B109" s="355"/>
      <c r="C109" s="354">
        <v>7</v>
      </c>
    </row>
    <row r="110" spans="1:3" ht="19.5" customHeight="1">
      <c r="A110" s="354" t="s">
        <v>718</v>
      </c>
      <c r="B110" s="355"/>
      <c r="C110" s="354">
        <v>1</v>
      </c>
    </row>
    <row r="111" spans="1:3" ht="19.5" customHeight="1">
      <c r="A111" s="354" t="s">
        <v>719</v>
      </c>
      <c r="B111" s="355"/>
      <c r="C111" s="354">
        <v>9</v>
      </c>
    </row>
    <row r="112" spans="1:3" ht="19.5" customHeight="1">
      <c r="A112" s="354" t="s">
        <v>720</v>
      </c>
      <c r="B112" s="355"/>
      <c r="C112" s="354">
        <v>2</v>
      </c>
    </row>
    <row r="113" spans="1:3" ht="19.5" customHeight="1">
      <c r="A113" s="354" t="s">
        <v>721</v>
      </c>
      <c r="B113" s="355"/>
      <c r="C113" s="354">
        <v>3</v>
      </c>
    </row>
    <row r="114" spans="1:3" ht="19.5" customHeight="1">
      <c r="A114" s="354" t="s">
        <v>722</v>
      </c>
      <c r="B114" s="355"/>
      <c r="C114" s="354">
        <v>3</v>
      </c>
    </row>
    <row r="115" spans="1:3" ht="19.5" customHeight="1">
      <c r="A115" s="354" t="s">
        <v>723</v>
      </c>
      <c r="B115" s="355"/>
      <c r="C115" s="354">
        <v>1</v>
      </c>
    </row>
    <row r="116" spans="1:3" ht="19.5" customHeight="1">
      <c r="A116" s="354" t="s">
        <v>724</v>
      </c>
      <c r="B116" s="355"/>
      <c r="C116" s="354">
        <v>1</v>
      </c>
    </row>
    <row r="117" spans="1:3" ht="19.5" customHeight="1">
      <c r="A117" s="354" t="s">
        <v>725</v>
      </c>
      <c r="B117" s="355"/>
      <c r="C117" s="354">
        <v>1</v>
      </c>
    </row>
    <row r="118" spans="1:3" ht="19.5" customHeight="1">
      <c r="A118" s="354" t="s">
        <v>726</v>
      </c>
      <c r="B118" s="355"/>
      <c r="C118" s="354">
        <v>2</v>
      </c>
    </row>
    <row r="119" spans="1:3" ht="19.5" customHeight="1">
      <c r="A119" s="354" t="s">
        <v>727</v>
      </c>
      <c r="B119" s="355"/>
      <c r="C119" s="354">
        <v>1</v>
      </c>
    </row>
    <row r="120" spans="1:3" ht="19.5" customHeight="1">
      <c r="A120" s="354" t="s">
        <v>728</v>
      </c>
      <c r="B120" s="355"/>
      <c r="C120" s="354">
        <v>2</v>
      </c>
    </row>
    <row r="121" spans="1:3" ht="19.5" customHeight="1">
      <c r="A121" s="354" t="s">
        <v>729</v>
      </c>
      <c r="B121" s="355"/>
      <c r="C121" s="354">
        <v>1</v>
      </c>
    </row>
    <row r="122" spans="1:3" ht="19.5" customHeight="1">
      <c r="A122" s="354" t="s">
        <v>730</v>
      </c>
      <c r="B122" s="355"/>
      <c r="C122" s="354">
        <v>1</v>
      </c>
    </row>
    <row r="123" spans="1:3" ht="19.5" customHeight="1">
      <c r="A123" s="354" t="s">
        <v>731</v>
      </c>
      <c r="B123" s="355"/>
      <c r="C123" s="354">
        <v>1</v>
      </c>
    </row>
    <row r="124" spans="1:3" ht="19.5" customHeight="1">
      <c r="A124" s="354" t="s">
        <v>732</v>
      </c>
      <c r="B124" s="355"/>
      <c r="C124" s="354">
        <v>1</v>
      </c>
    </row>
    <row r="125" spans="1:3" ht="19.5" customHeight="1">
      <c r="A125" s="354" t="s">
        <v>733</v>
      </c>
      <c r="B125" s="355"/>
      <c r="C125" s="354">
        <v>1</v>
      </c>
    </row>
    <row r="126" spans="1:3" ht="19.5" customHeight="1">
      <c r="A126" s="354" t="s">
        <v>734</v>
      </c>
      <c r="B126" s="355"/>
      <c r="C126" s="354">
        <v>1</v>
      </c>
    </row>
    <row r="127" spans="1:3" ht="19.5" customHeight="1">
      <c r="A127" s="354" t="s">
        <v>735</v>
      </c>
      <c r="B127" s="355"/>
      <c r="C127" s="354">
        <v>2</v>
      </c>
    </row>
    <row r="128" spans="1:3" ht="19.5" customHeight="1">
      <c r="A128" s="354" t="s">
        <v>736</v>
      </c>
      <c r="B128" s="355"/>
      <c r="C128" s="354">
        <v>23</v>
      </c>
    </row>
    <row r="129" spans="1:3" ht="19.5" customHeight="1">
      <c r="A129" s="354" t="s">
        <v>737</v>
      </c>
      <c r="B129" s="355"/>
      <c r="C129" s="354">
        <v>9</v>
      </c>
    </row>
    <row r="130" spans="1:3" ht="19.5" customHeight="1">
      <c r="A130" s="354" t="s">
        <v>738</v>
      </c>
      <c r="B130" s="355"/>
      <c r="C130" s="354">
        <v>1</v>
      </c>
    </row>
    <row r="131" spans="1:3" ht="19.5" customHeight="1">
      <c r="A131" s="354" t="s">
        <v>739</v>
      </c>
      <c r="B131" s="355"/>
      <c r="C131" s="354">
        <v>7</v>
      </c>
    </row>
    <row r="132" spans="1:3" ht="19.5" customHeight="1">
      <c r="A132" s="354" t="s">
        <v>740</v>
      </c>
      <c r="B132" s="355"/>
      <c r="C132" s="354">
        <v>1</v>
      </c>
    </row>
    <row r="133" spans="1:3" ht="19.5" customHeight="1">
      <c r="A133" s="354" t="s">
        <v>741</v>
      </c>
      <c r="B133" s="355"/>
      <c r="C133" s="354">
        <v>7</v>
      </c>
    </row>
    <row r="134" spans="1:3" ht="19.5" customHeight="1">
      <c r="A134" s="354" t="s">
        <v>742</v>
      </c>
      <c r="B134" s="355"/>
      <c r="C134" s="354">
        <v>2</v>
      </c>
    </row>
    <row r="135" spans="1:3" ht="19.5" customHeight="1">
      <c r="A135" s="354" t="s">
        <v>743</v>
      </c>
      <c r="B135" s="355"/>
      <c r="C135" s="354">
        <v>1</v>
      </c>
    </row>
    <row r="136" spans="1:3" ht="19.5" customHeight="1">
      <c r="A136" s="354" t="s">
        <v>744</v>
      </c>
      <c r="B136" s="355"/>
      <c r="C136" s="354">
        <v>1</v>
      </c>
    </row>
    <row r="137" spans="1:3" ht="19.5" customHeight="1">
      <c r="A137" s="354" t="s">
        <v>745</v>
      </c>
      <c r="B137" s="355"/>
      <c r="C137" s="354">
        <v>1</v>
      </c>
    </row>
    <row r="138" spans="1:3" ht="19.5" customHeight="1">
      <c r="A138" s="354" t="s">
        <v>746</v>
      </c>
      <c r="B138" s="355"/>
      <c r="C138" s="354">
        <v>7</v>
      </c>
    </row>
    <row r="139" spans="1:3" ht="19.5" customHeight="1">
      <c r="A139" s="354" t="s">
        <v>747</v>
      </c>
      <c r="B139" s="355"/>
      <c r="C139" s="354">
        <v>1</v>
      </c>
    </row>
    <row r="140" spans="1:3" ht="19.5" customHeight="1">
      <c r="A140" s="354" t="s">
        <v>748</v>
      </c>
      <c r="B140" s="355"/>
      <c r="C140" s="354">
        <v>1</v>
      </c>
    </row>
    <row r="141" spans="1:3" ht="19.5" customHeight="1">
      <c r="A141" s="354" t="s">
        <v>749</v>
      </c>
      <c r="B141" s="355"/>
      <c r="C141" s="354">
        <v>1</v>
      </c>
    </row>
    <row r="142" spans="1:3" ht="19.5" customHeight="1">
      <c r="A142" s="354" t="s">
        <v>750</v>
      </c>
      <c r="B142" s="355"/>
      <c r="C142" s="354">
        <v>1</v>
      </c>
    </row>
    <row r="143" spans="1:3" ht="19.5" customHeight="1">
      <c r="A143" s="354" t="s">
        <v>751</v>
      </c>
      <c r="B143" s="355"/>
      <c r="C143" s="354">
        <v>1</v>
      </c>
    </row>
    <row r="144" spans="1:3" ht="19.5" customHeight="1">
      <c r="A144" s="354" t="s">
        <v>752</v>
      </c>
      <c r="B144" s="355"/>
      <c r="C144" s="354">
        <v>13</v>
      </c>
    </row>
    <row r="145" spans="1:3" ht="19.5" customHeight="1">
      <c r="A145" s="354" t="s">
        <v>753</v>
      </c>
      <c r="B145" s="355"/>
      <c r="C145" s="354">
        <v>1</v>
      </c>
    </row>
    <row r="146" spans="1:3" ht="19.5" customHeight="1">
      <c r="A146" s="354" t="s">
        <v>754</v>
      </c>
      <c r="B146" s="355"/>
      <c r="C146" s="354">
        <v>1</v>
      </c>
    </row>
    <row r="147" spans="1:3" ht="19.5" customHeight="1">
      <c r="A147" s="354" t="s">
        <v>755</v>
      </c>
      <c r="B147" s="355"/>
      <c r="C147" s="354">
        <v>1</v>
      </c>
    </row>
    <row r="148" spans="1:3" ht="19.5" customHeight="1">
      <c r="A148" s="354" t="s">
        <v>756</v>
      </c>
      <c r="B148" s="355"/>
      <c r="C148" s="354">
        <v>5</v>
      </c>
    </row>
    <row r="149" spans="1:3" ht="19.5" customHeight="1">
      <c r="A149" s="354" t="s">
        <v>757</v>
      </c>
      <c r="B149" s="355"/>
      <c r="C149" s="354">
        <v>3</v>
      </c>
    </row>
    <row r="150" spans="1:3" ht="19.5" customHeight="1">
      <c r="A150" s="354" t="s">
        <v>758</v>
      </c>
      <c r="B150" s="355"/>
      <c r="C150" s="354">
        <v>2</v>
      </c>
    </row>
    <row r="151" spans="1:3" ht="19.5" customHeight="1">
      <c r="A151" s="354" t="s">
        <v>759</v>
      </c>
      <c r="B151" s="355"/>
      <c r="C151" s="354">
        <v>1</v>
      </c>
    </row>
    <row r="152" spans="1:3" ht="19.5" customHeight="1">
      <c r="A152" s="354" t="s">
        <v>760</v>
      </c>
      <c r="B152" s="355"/>
      <c r="C152" s="354">
        <v>2</v>
      </c>
    </row>
    <row r="153" spans="1:3" ht="19.5" customHeight="1">
      <c r="A153" s="354" t="s">
        <v>761</v>
      </c>
      <c r="B153" s="355"/>
      <c r="C153" s="354">
        <v>1</v>
      </c>
    </row>
    <row r="154" spans="1:3" ht="19.5" customHeight="1">
      <c r="A154" s="536" t="s">
        <v>173</v>
      </c>
      <c r="B154" s="536"/>
      <c r="C154" s="356">
        <f>SUM(C31:C153)</f>
        <v>482</v>
      </c>
    </row>
    <row r="155" spans="1:3" ht="19.5" customHeight="1" thickBot="1">
      <c r="C155" s="197"/>
    </row>
    <row r="156" spans="1:3" ht="19.5" customHeight="1">
      <c r="A156" s="521" t="s">
        <v>174</v>
      </c>
      <c r="B156" s="522"/>
      <c r="C156" s="523"/>
    </row>
    <row r="157" spans="1:3" ht="19.5" customHeight="1">
      <c r="A157" s="352" t="s">
        <v>171</v>
      </c>
      <c r="B157" s="353" t="s">
        <v>172</v>
      </c>
      <c r="C157" s="353" t="s">
        <v>42</v>
      </c>
    </row>
    <row r="158" spans="1:3" ht="19.5" customHeight="1">
      <c r="A158" s="354" t="s">
        <v>762</v>
      </c>
      <c r="B158" s="355"/>
      <c r="C158" s="354">
        <v>1</v>
      </c>
    </row>
    <row r="159" spans="1:3" ht="19.5" customHeight="1">
      <c r="A159" s="354" t="s">
        <v>763</v>
      </c>
      <c r="B159" s="355"/>
      <c r="C159" s="354">
        <v>1</v>
      </c>
    </row>
    <row r="160" spans="1:3" ht="19.5" customHeight="1">
      <c r="A160" s="354" t="s">
        <v>642</v>
      </c>
      <c r="B160" s="355"/>
      <c r="C160" s="354">
        <v>1</v>
      </c>
    </row>
    <row r="161" spans="1:3" ht="19.5" customHeight="1">
      <c r="A161" s="354" t="s">
        <v>643</v>
      </c>
      <c r="B161" s="355"/>
      <c r="C161" s="354">
        <v>1</v>
      </c>
    </row>
    <row r="162" spans="1:3" ht="19.5" customHeight="1">
      <c r="A162" s="354" t="s">
        <v>645</v>
      </c>
      <c r="B162" s="355"/>
      <c r="C162" s="354">
        <v>3</v>
      </c>
    </row>
    <row r="163" spans="1:3" ht="19.5" customHeight="1">
      <c r="A163" s="354" t="s">
        <v>764</v>
      </c>
      <c r="B163" s="355"/>
      <c r="C163" s="354">
        <v>1</v>
      </c>
    </row>
    <row r="164" spans="1:3" ht="19.5" customHeight="1">
      <c r="A164" s="354" t="s">
        <v>765</v>
      </c>
      <c r="B164" s="355"/>
      <c r="C164" s="354">
        <v>2</v>
      </c>
    </row>
    <row r="165" spans="1:3" ht="19.5" customHeight="1">
      <c r="A165" s="354" t="s">
        <v>766</v>
      </c>
      <c r="B165" s="355"/>
      <c r="C165" s="354">
        <v>2</v>
      </c>
    </row>
    <row r="166" spans="1:3" ht="19.5" customHeight="1">
      <c r="A166" s="354" t="s">
        <v>767</v>
      </c>
      <c r="B166" s="355"/>
      <c r="C166" s="354">
        <v>1</v>
      </c>
    </row>
    <row r="167" spans="1:3" ht="19.5" customHeight="1">
      <c r="A167" s="354" t="s">
        <v>768</v>
      </c>
      <c r="B167" s="355"/>
      <c r="C167" s="354">
        <v>1</v>
      </c>
    </row>
    <row r="168" spans="1:3" ht="19.5" customHeight="1">
      <c r="A168" s="354" t="s">
        <v>769</v>
      </c>
      <c r="B168" s="355"/>
      <c r="C168" s="354">
        <v>1</v>
      </c>
    </row>
    <row r="169" spans="1:3" ht="19.5" customHeight="1">
      <c r="A169" s="354" t="s">
        <v>770</v>
      </c>
      <c r="B169" s="355"/>
      <c r="C169" s="354">
        <v>3</v>
      </c>
    </row>
    <row r="170" spans="1:3" ht="19.5" customHeight="1">
      <c r="A170" s="354" t="s">
        <v>771</v>
      </c>
      <c r="B170" s="355"/>
      <c r="C170" s="354">
        <v>1</v>
      </c>
    </row>
    <row r="171" spans="1:3" ht="19.5" customHeight="1">
      <c r="A171" s="354" t="s">
        <v>772</v>
      </c>
      <c r="B171" s="355"/>
      <c r="C171" s="354">
        <v>1</v>
      </c>
    </row>
    <row r="172" spans="1:3" ht="19.5" customHeight="1">
      <c r="A172" s="354" t="s">
        <v>773</v>
      </c>
      <c r="B172" s="355"/>
      <c r="C172" s="354">
        <v>1</v>
      </c>
    </row>
    <row r="173" spans="1:3" ht="19.5" customHeight="1">
      <c r="A173" s="354" t="s">
        <v>672</v>
      </c>
      <c r="B173" s="355"/>
      <c r="C173" s="354">
        <v>4</v>
      </c>
    </row>
    <row r="174" spans="1:3" ht="19.5" customHeight="1">
      <c r="A174" s="354" t="s">
        <v>673</v>
      </c>
      <c r="B174" s="355"/>
      <c r="C174" s="354">
        <v>5</v>
      </c>
    </row>
    <row r="175" spans="1:3" ht="19.5" customHeight="1">
      <c r="A175" s="354" t="s">
        <v>774</v>
      </c>
      <c r="B175" s="355"/>
      <c r="C175" s="354">
        <v>2</v>
      </c>
    </row>
    <row r="176" spans="1:3" ht="19.5" customHeight="1">
      <c r="A176" s="354" t="s">
        <v>775</v>
      </c>
      <c r="B176" s="355"/>
      <c r="C176" s="354">
        <v>3</v>
      </c>
    </row>
    <row r="177" spans="1:3" ht="19.5" customHeight="1">
      <c r="A177" s="354" t="s">
        <v>674</v>
      </c>
      <c r="B177" s="355"/>
      <c r="C177" s="354">
        <v>5</v>
      </c>
    </row>
    <row r="178" spans="1:3" ht="19.5" customHeight="1">
      <c r="A178" s="354" t="s">
        <v>675</v>
      </c>
      <c r="B178" s="355"/>
      <c r="C178" s="354">
        <v>2</v>
      </c>
    </row>
    <row r="179" spans="1:3" ht="19.5" customHeight="1">
      <c r="A179" s="354" t="s">
        <v>676</v>
      </c>
      <c r="B179" s="355"/>
      <c r="C179" s="354">
        <v>3</v>
      </c>
    </row>
    <row r="180" spans="1:3" ht="19.5" customHeight="1">
      <c r="A180" s="354" t="s">
        <v>679</v>
      </c>
      <c r="B180" s="355"/>
      <c r="C180" s="354">
        <v>5</v>
      </c>
    </row>
    <row r="181" spans="1:3" ht="19.5" customHeight="1">
      <c r="A181" s="354" t="s">
        <v>680</v>
      </c>
      <c r="B181" s="355"/>
      <c r="C181" s="354">
        <v>2</v>
      </c>
    </row>
    <row r="182" spans="1:3" ht="19.5" customHeight="1">
      <c r="A182" s="354" t="s">
        <v>681</v>
      </c>
      <c r="B182" s="355"/>
      <c r="C182" s="354">
        <v>4</v>
      </c>
    </row>
    <row r="183" spans="1:3" ht="19.5" customHeight="1">
      <c r="A183" s="354" t="s">
        <v>683</v>
      </c>
      <c r="B183" s="355"/>
      <c r="C183" s="354">
        <v>2</v>
      </c>
    </row>
    <row r="184" spans="1:3" ht="19.5" customHeight="1">
      <c r="A184" s="354" t="s">
        <v>684</v>
      </c>
      <c r="B184" s="355"/>
      <c r="C184" s="354">
        <v>1</v>
      </c>
    </row>
    <row r="185" spans="1:3" ht="19.5" customHeight="1">
      <c r="A185" s="354" t="s">
        <v>685</v>
      </c>
      <c r="B185" s="355"/>
      <c r="C185" s="354">
        <v>1</v>
      </c>
    </row>
    <row r="186" spans="1:3" ht="19.5" customHeight="1">
      <c r="A186" s="354" t="s">
        <v>686</v>
      </c>
      <c r="B186" s="355"/>
      <c r="C186" s="354">
        <v>1</v>
      </c>
    </row>
    <row r="187" spans="1:3" ht="19.5" customHeight="1">
      <c r="A187" s="354" t="s">
        <v>776</v>
      </c>
      <c r="B187" s="355"/>
      <c r="C187" s="354">
        <v>1</v>
      </c>
    </row>
    <row r="188" spans="1:3" ht="19.5" customHeight="1">
      <c r="A188" s="354" t="s">
        <v>688</v>
      </c>
      <c r="B188" s="355"/>
      <c r="C188" s="354">
        <v>14</v>
      </c>
    </row>
    <row r="189" spans="1:3" ht="19.5" customHeight="1">
      <c r="A189" s="354" t="s">
        <v>691</v>
      </c>
      <c r="B189" s="355"/>
      <c r="C189" s="354">
        <v>8</v>
      </c>
    </row>
    <row r="190" spans="1:3" ht="19.5" customHeight="1">
      <c r="A190" s="354" t="s">
        <v>777</v>
      </c>
      <c r="B190" s="355"/>
      <c r="C190" s="354">
        <v>1</v>
      </c>
    </row>
    <row r="191" spans="1:3" ht="19.5" customHeight="1">
      <c r="A191" s="354" t="s">
        <v>778</v>
      </c>
      <c r="B191" s="355"/>
      <c r="C191" s="354">
        <v>3</v>
      </c>
    </row>
    <row r="192" spans="1:3" ht="19.5" customHeight="1">
      <c r="A192" s="354" t="s">
        <v>779</v>
      </c>
      <c r="B192" s="355"/>
      <c r="C192" s="354">
        <v>1</v>
      </c>
    </row>
    <row r="193" spans="1:3" ht="19.5" customHeight="1">
      <c r="A193" s="354" t="s">
        <v>780</v>
      </c>
      <c r="B193" s="355"/>
      <c r="C193" s="354">
        <v>2</v>
      </c>
    </row>
    <row r="194" spans="1:3" ht="19.5" customHeight="1">
      <c r="A194" s="354" t="s">
        <v>781</v>
      </c>
      <c r="B194" s="355"/>
      <c r="C194" s="354">
        <v>1</v>
      </c>
    </row>
    <row r="195" spans="1:3" ht="19.5" customHeight="1">
      <c r="A195" s="354" t="s">
        <v>782</v>
      </c>
      <c r="B195" s="355"/>
      <c r="C195" s="354">
        <v>1</v>
      </c>
    </row>
    <row r="196" spans="1:3" ht="19.5" customHeight="1">
      <c r="A196" s="354" t="s">
        <v>708</v>
      </c>
      <c r="B196" s="355"/>
      <c r="C196" s="354">
        <v>2</v>
      </c>
    </row>
    <row r="197" spans="1:3" ht="19.5" customHeight="1">
      <c r="A197" s="354" t="s">
        <v>783</v>
      </c>
      <c r="B197" s="355"/>
      <c r="C197" s="354">
        <v>1</v>
      </c>
    </row>
    <row r="198" spans="1:3" ht="19.5" customHeight="1">
      <c r="A198" s="354" t="s">
        <v>711</v>
      </c>
      <c r="B198" s="355"/>
      <c r="C198" s="354">
        <v>1</v>
      </c>
    </row>
    <row r="199" spans="1:3" ht="19.5" customHeight="1">
      <c r="A199" s="354" t="s">
        <v>784</v>
      </c>
      <c r="B199" s="355"/>
      <c r="C199" s="354">
        <v>1</v>
      </c>
    </row>
    <row r="200" spans="1:3" ht="19.5" customHeight="1">
      <c r="A200" s="354" t="s">
        <v>717</v>
      </c>
      <c r="B200" s="355"/>
      <c r="C200" s="354">
        <v>2</v>
      </c>
    </row>
    <row r="201" spans="1:3" ht="19.5" customHeight="1">
      <c r="A201" s="354" t="s">
        <v>785</v>
      </c>
      <c r="B201" s="355"/>
      <c r="C201" s="354">
        <v>1</v>
      </c>
    </row>
    <row r="202" spans="1:3" ht="19.5" customHeight="1">
      <c r="A202" s="354" t="s">
        <v>722</v>
      </c>
      <c r="B202" s="355"/>
      <c r="C202" s="354">
        <v>1</v>
      </c>
    </row>
    <row r="203" spans="1:3" ht="19.5" customHeight="1">
      <c r="A203" s="354" t="s">
        <v>786</v>
      </c>
      <c r="B203" s="355"/>
      <c r="C203" s="354">
        <v>1</v>
      </c>
    </row>
    <row r="204" spans="1:3" ht="19.5" customHeight="1">
      <c r="A204" s="354" t="s">
        <v>787</v>
      </c>
      <c r="B204" s="355"/>
      <c r="C204" s="354">
        <v>1</v>
      </c>
    </row>
    <row r="205" spans="1:3" ht="19.5" customHeight="1">
      <c r="A205" s="354" t="s">
        <v>788</v>
      </c>
      <c r="B205" s="355"/>
      <c r="C205" s="354">
        <v>1</v>
      </c>
    </row>
    <row r="206" spans="1:3" ht="19.5" customHeight="1">
      <c r="A206" s="354" t="s">
        <v>724</v>
      </c>
      <c r="B206" s="355"/>
      <c r="C206" s="354">
        <v>1</v>
      </c>
    </row>
    <row r="207" spans="1:3" ht="19.5" customHeight="1">
      <c r="A207" s="354" t="s">
        <v>733</v>
      </c>
      <c r="B207" s="355"/>
      <c r="C207" s="354">
        <v>1</v>
      </c>
    </row>
    <row r="208" spans="1:3" ht="19.5" customHeight="1">
      <c r="A208" s="354" t="s">
        <v>736</v>
      </c>
      <c r="B208" s="355"/>
      <c r="C208" s="354">
        <v>1</v>
      </c>
    </row>
    <row r="209" spans="1:3" ht="19.5" customHeight="1">
      <c r="A209" s="354" t="s">
        <v>741</v>
      </c>
      <c r="B209" s="355"/>
      <c r="C209" s="354">
        <v>1</v>
      </c>
    </row>
    <row r="210" spans="1:3" ht="19.5" customHeight="1">
      <c r="A210" s="354" t="s">
        <v>789</v>
      </c>
      <c r="B210" s="355"/>
      <c r="C210" s="354">
        <v>1</v>
      </c>
    </row>
    <row r="211" spans="1:3" ht="19.5" customHeight="1">
      <c r="A211" s="354" t="s">
        <v>790</v>
      </c>
      <c r="B211" s="355"/>
      <c r="C211" s="354">
        <v>1</v>
      </c>
    </row>
    <row r="212" spans="1:3" ht="19.5" customHeight="1">
      <c r="A212" s="354" t="s">
        <v>791</v>
      </c>
      <c r="B212" s="355"/>
      <c r="C212" s="354">
        <v>1</v>
      </c>
    </row>
    <row r="213" spans="1:3" ht="19.5" customHeight="1">
      <c r="A213" s="354" t="s">
        <v>792</v>
      </c>
      <c r="B213" s="355"/>
      <c r="C213" s="354">
        <v>1</v>
      </c>
    </row>
    <row r="214" spans="1:3" ht="19.5" customHeight="1">
      <c r="A214" s="354" t="s">
        <v>793</v>
      </c>
      <c r="B214" s="355"/>
      <c r="C214" s="354">
        <v>2</v>
      </c>
    </row>
    <row r="215" spans="1:3" ht="19.5" customHeight="1">
      <c r="A215" s="354" t="s">
        <v>794</v>
      </c>
      <c r="B215" s="355"/>
      <c r="C215" s="354">
        <v>2</v>
      </c>
    </row>
    <row r="216" spans="1:3" ht="19.5" customHeight="1">
      <c r="A216" s="354" t="s">
        <v>795</v>
      </c>
      <c r="B216" s="355"/>
      <c r="C216" s="354">
        <v>1</v>
      </c>
    </row>
    <row r="217" spans="1:3" ht="19.5" customHeight="1">
      <c r="A217" s="354" t="s">
        <v>752</v>
      </c>
      <c r="B217" s="355"/>
      <c r="C217" s="354">
        <v>1</v>
      </c>
    </row>
    <row r="218" spans="1:3" ht="19.5" customHeight="1">
      <c r="A218" s="354" t="s">
        <v>753</v>
      </c>
      <c r="B218" s="355"/>
      <c r="C218" s="354">
        <v>1</v>
      </c>
    </row>
    <row r="219" spans="1:3" ht="19.5" customHeight="1">
      <c r="A219" s="354" t="s">
        <v>754</v>
      </c>
      <c r="B219" s="355"/>
      <c r="C219" s="354">
        <v>2</v>
      </c>
    </row>
    <row r="220" spans="1:3" ht="19.5" customHeight="1">
      <c r="A220" s="354" t="s">
        <v>755</v>
      </c>
      <c r="B220" s="355"/>
      <c r="C220" s="354">
        <v>2</v>
      </c>
    </row>
    <row r="221" spans="1:3" ht="19.5" customHeight="1">
      <c r="A221" s="524" t="s">
        <v>175</v>
      </c>
      <c r="B221" s="525"/>
      <c r="C221" s="356">
        <f>SUM(C158:C220)</f>
        <v>124</v>
      </c>
    </row>
    <row r="222" spans="1:3" ht="19.5" customHeight="1" thickBot="1">
      <c r="C222" s="197"/>
    </row>
    <row r="223" spans="1:3" ht="19.5" customHeight="1" thickBot="1">
      <c r="B223" s="526" t="s">
        <v>176</v>
      </c>
      <c r="C223" s="527"/>
    </row>
    <row r="224" spans="1:3" ht="19.5" customHeight="1">
      <c r="B224" s="419"/>
      <c r="C224" s="418" t="s">
        <v>42</v>
      </c>
    </row>
    <row r="225" spans="2:3" ht="19.5" customHeight="1">
      <c r="B225" s="420" t="s">
        <v>177</v>
      </c>
      <c r="C225" s="421">
        <v>34</v>
      </c>
    </row>
    <row r="226" spans="2:3" ht="19.5" customHeight="1">
      <c r="B226" s="420" t="s">
        <v>178</v>
      </c>
      <c r="C226" s="421">
        <v>55</v>
      </c>
    </row>
    <row r="227" spans="2:3" ht="19.5" customHeight="1" thickBot="1">
      <c r="B227" s="422" t="s">
        <v>179</v>
      </c>
      <c r="C227" s="423">
        <f>C225+C226</f>
        <v>89</v>
      </c>
    </row>
  </sheetData>
  <autoFilter ref="A157:C221" xr:uid="{00000000-0009-0000-0000-000006000000}"/>
  <mergeCells count="28"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  <mergeCell ref="A19:C19"/>
    <mergeCell ref="A20:B20"/>
    <mergeCell ref="A21:B21"/>
    <mergeCell ref="A22:B22"/>
    <mergeCell ref="A23:B23"/>
    <mergeCell ref="A156:C156"/>
    <mergeCell ref="A221:B221"/>
    <mergeCell ref="B223:C223"/>
    <mergeCell ref="A24:C24"/>
    <mergeCell ref="A25:B25"/>
    <mergeCell ref="A26:B26"/>
    <mergeCell ref="A29:C29"/>
    <mergeCell ref="A154:B154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topLeftCell="A34" zoomScale="80" zoomScaleNormal="80" zoomScaleSheetLayoutView="80" zoomScalePageLayoutView="80" workbookViewId="0">
      <selection activeCell="I36" sqref="I36"/>
    </sheetView>
  </sheetViews>
  <sheetFormatPr defaultColWidth="9" defaultRowHeight="19.5" customHeight="1"/>
  <cols>
    <col min="1" max="1" width="46.140625" style="109" customWidth="1"/>
    <col min="2" max="2" width="18.5703125" style="110" customWidth="1"/>
    <col min="3" max="3" width="22.7109375" style="110" customWidth="1"/>
    <col min="4" max="4" width="29.140625" style="110" customWidth="1"/>
    <col min="5" max="5" width="19" style="110" customWidth="1"/>
    <col min="6" max="6" width="18.42578125" style="110" customWidth="1"/>
    <col min="7" max="7" width="21.42578125" style="110" customWidth="1"/>
    <col min="8" max="8" width="18.140625" style="110" customWidth="1"/>
    <col min="9" max="9" width="21.42578125" style="109" customWidth="1"/>
    <col min="10" max="16383" width="9.140625" style="109"/>
    <col min="16384" max="16384" width="9" style="109"/>
  </cols>
  <sheetData>
    <row r="1" spans="1:9" ht="32.1" customHeight="1">
      <c r="A1" s="597" t="s">
        <v>180</v>
      </c>
      <c r="B1" s="598"/>
      <c r="C1" s="598"/>
      <c r="D1" s="598"/>
      <c r="E1" s="598"/>
      <c r="F1" s="598"/>
      <c r="G1" s="598"/>
      <c r="H1" s="598"/>
      <c r="I1" s="598"/>
    </row>
    <row r="2" spans="1:9" ht="19.5" customHeight="1">
      <c r="A2" s="133"/>
      <c r="B2" s="134"/>
      <c r="C2" s="134"/>
      <c r="D2" s="134"/>
      <c r="E2" s="135"/>
      <c r="F2" s="135"/>
      <c r="G2" s="135"/>
      <c r="H2" s="135"/>
      <c r="I2" s="189"/>
    </row>
    <row r="3" spans="1:9" ht="19.5" customHeight="1">
      <c r="A3" s="136" t="s">
        <v>6</v>
      </c>
      <c r="B3" s="599" t="str">
        <f>Capa!D5</f>
        <v>HOSPITAL REGIONAL TEREZINHA GAIO BASSO</v>
      </c>
      <c r="C3" s="600"/>
      <c r="D3" s="600"/>
      <c r="E3" s="600"/>
      <c r="F3" s="135"/>
      <c r="G3" s="135"/>
      <c r="H3" s="135"/>
      <c r="I3" s="190"/>
    </row>
    <row r="4" spans="1:9" ht="19.5" customHeight="1">
      <c r="A4" s="136" t="s">
        <v>7</v>
      </c>
      <c r="B4" s="601">
        <f>Assistencial!B4</f>
        <v>45717</v>
      </c>
      <c r="C4" s="601"/>
      <c r="D4" s="135"/>
      <c r="E4" s="135"/>
      <c r="F4" s="135"/>
      <c r="G4" s="135"/>
      <c r="H4" s="135"/>
      <c r="I4" s="189"/>
    </row>
    <row r="5" spans="1:9" ht="23.1" customHeight="1">
      <c r="A5" s="137"/>
    </row>
    <row r="6" spans="1:9" ht="19.5" customHeight="1">
      <c r="A6" s="602" t="s">
        <v>181</v>
      </c>
      <c r="B6" s="603"/>
      <c r="C6" s="138" t="s">
        <v>42</v>
      </c>
    </row>
    <row r="7" spans="1:9" ht="19.5" customHeight="1">
      <c r="A7" s="604" t="s">
        <v>182</v>
      </c>
      <c r="B7" s="605"/>
      <c r="C7" s="139">
        <v>727</v>
      </c>
    </row>
    <row r="8" spans="1:9" ht="19.5" customHeight="1">
      <c r="A8" s="587" t="s">
        <v>183</v>
      </c>
      <c r="B8" s="588"/>
      <c r="C8" s="140">
        <f>B29</f>
        <v>732</v>
      </c>
    </row>
    <row r="9" spans="1:9" ht="19.5" customHeight="1">
      <c r="A9" s="137"/>
    </row>
    <row r="10" spans="1:9" ht="19.5" customHeight="1">
      <c r="A10" s="567" t="s">
        <v>184</v>
      </c>
      <c r="B10" s="572"/>
      <c r="C10" s="572"/>
      <c r="D10" s="572"/>
      <c r="E10" s="572"/>
      <c r="F10" s="568"/>
    </row>
    <row r="11" spans="1:9" ht="38.1" customHeight="1">
      <c r="A11" s="141"/>
      <c r="B11" s="589" t="s">
        <v>185</v>
      </c>
      <c r="C11" s="590"/>
      <c r="D11" s="591" t="s">
        <v>186</v>
      </c>
      <c r="E11" s="592"/>
      <c r="F11" s="143"/>
    </row>
    <row r="12" spans="1:9" ht="19.5" customHeight="1">
      <c r="A12" s="141"/>
      <c r="B12" s="593">
        <v>9</v>
      </c>
      <c r="C12" s="594"/>
      <c r="D12" s="595">
        <f>B12/B29</f>
        <v>1.2295081967213115E-2</v>
      </c>
      <c r="E12" s="596"/>
      <c r="F12" s="143"/>
    </row>
    <row r="13" spans="1:9" ht="19.5" customHeight="1">
      <c r="A13" s="144"/>
      <c r="F13" s="145"/>
    </row>
    <row r="14" spans="1:9" ht="19.5" customHeight="1">
      <c r="A14" s="146"/>
      <c r="B14" s="576" t="s">
        <v>187</v>
      </c>
      <c r="C14" s="577"/>
      <c r="D14" s="577"/>
      <c r="E14" s="577"/>
      <c r="F14" s="578"/>
    </row>
    <row r="15" spans="1:9" ht="57.95" customHeight="1">
      <c r="A15" s="147"/>
      <c r="B15" s="148" t="s">
        <v>188</v>
      </c>
      <c r="C15" s="149" t="s">
        <v>189</v>
      </c>
      <c r="D15" s="149" t="s">
        <v>190</v>
      </c>
      <c r="E15" s="149" t="s">
        <v>191</v>
      </c>
      <c r="F15" s="76" t="s">
        <v>192</v>
      </c>
    </row>
    <row r="16" spans="1:9" ht="19.5" customHeight="1">
      <c r="A16" s="114"/>
      <c r="B16" s="150">
        <v>4</v>
      </c>
      <c r="C16" s="151">
        <v>0</v>
      </c>
      <c r="D16" s="151">
        <v>233</v>
      </c>
      <c r="E16" s="151">
        <v>4</v>
      </c>
      <c r="F16" s="152">
        <v>159</v>
      </c>
    </row>
    <row r="17" spans="1:9" ht="19.5" customHeight="1">
      <c r="A17" s="146"/>
      <c r="B17" s="153"/>
      <c r="C17" s="153"/>
      <c r="D17" s="153"/>
      <c r="E17" s="153"/>
      <c r="F17" s="154"/>
    </row>
    <row r="18" spans="1:9" ht="19.5" customHeight="1">
      <c r="A18" s="146"/>
      <c r="B18" s="579" t="s">
        <v>193</v>
      </c>
      <c r="C18" s="580"/>
      <c r="D18" s="581"/>
      <c r="E18" s="153"/>
      <c r="F18" s="154"/>
    </row>
    <row r="19" spans="1:9" ht="19.5" customHeight="1">
      <c r="A19" s="144"/>
      <c r="B19" s="155" t="s">
        <v>194</v>
      </c>
      <c r="C19" s="156" t="s">
        <v>195</v>
      </c>
      <c r="D19" s="157" t="s">
        <v>196</v>
      </c>
      <c r="F19" s="158"/>
    </row>
    <row r="20" spans="1:9" ht="19.5" customHeight="1">
      <c r="A20" s="144"/>
      <c r="B20" s="159">
        <f>B16/Assistencial!I14*1000</f>
        <v>14.035087719298247</v>
      </c>
      <c r="C20" s="160">
        <f>C16/D16*1000</f>
        <v>0</v>
      </c>
      <c r="D20" s="429">
        <f>F16/Assistencial!I14</f>
        <v>0.55789473684210522</v>
      </c>
      <c r="F20" s="158"/>
    </row>
    <row r="21" spans="1:9" ht="68.099999999999994" customHeight="1">
      <c r="A21" s="582" t="s">
        <v>197</v>
      </c>
      <c r="B21" s="583"/>
      <c r="C21" s="583"/>
      <c r="D21" s="583"/>
      <c r="E21" s="583"/>
      <c r="F21" s="584"/>
    </row>
    <row r="22" spans="1:9" ht="19.5" customHeight="1">
      <c r="A22" s="137"/>
    </row>
    <row r="23" spans="1:9" ht="19.5" customHeight="1">
      <c r="A23" s="137"/>
    </row>
    <row r="24" spans="1:9" ht="19.5" customHeight="1">
      <c r="A24" s="585" t="s">
        <v>198</v>
      </c>
      <c r="B24" s="586"/>
      <c r="C24" s="161"/>
      <c r="D24" s="567" t="s">
        <v>199</v>
      </c>
      <c r="E24" s="572"/>
      <c r="F24" s="572"/>
      <c r="G24" s="572"/>
      <c r="H24" s="572"/>
      <c r="I24" s="568"/>
    </row>
    <row r="25" spans="1:9" ht="51" customHeight="1">
      <c r="A25" s="162"/>
      <c r="B25" s="163" t="s">
        <v>42</v>
      </c>
      <c r="D25" s="164"/>
      <c r="E25" s="142" t="s">
        <v>200</v>
      </c>
      <c r="F25" s="142" t="s">
        <v>201</v>
      </c>
      <c r="G25" s="142" t="s">
        <v>202</v>
      </c>
      <c r="H25" s="142" t="s">
        <v>494</v>
      </c>
      <c r="I25" s="191" t="s">
        <v>601</v>
      </c>
    </row>
    <row r="26" spans="1:9" ht="39" customHeight="1">
      <c r="A26" s="165" t="s">
        <v>203</v>
      </c>
      <c r="B26" s="27">
        <v>27</v>
      </c>
      <c r="D26" s="162" t="s">
        <v>204</v>
      </c>
      <c r="E26" s="166">
        <v>103</v>
      </c>
      <c r="F26" s="166">
        <v>0</v>
      </c>
      <c r="G26" s="167">
        <f>F26/E26</f>
        <v>0</v>
      </c>
      <c r="H26" s="166">
        <v>106</v>
      </c>
      <c r="I26" s="192">
        <f>H26/H32</f>
        <v>0.23399558498896247</v>
      </c>
    </row>
    <row r="27" spans="1:9" ht="19.5" customHeight="1">
      <c r="A27" s="165" t="s">
        <v>205</v>
      </c>
      <c r="B27" s="27">
        <v>3</v>
      </c>
      <c r="D27" s="164" t="s">
        <v>206</v>
      </c>
      <c r="E27" s="29">
        <v>261</v>
      </c>
      <c r="F27" s="29">
        <v>1</v>
      </c>
      <c r="G27" s="168">
        <f>F27/E27</f>
        <v>3.8314176245210726E-3</v>
      </c>
      <c r="H27" s="29">
        <v>270</v>
      </c>
      <c r="I27" s="193">
        <f>H27/H32</f>
        <v>0.59602649006622521</v>
      </c>
    </row>
    <row r="28" spans="1:9" ht="30" customHeight="1">
      <c r="A28" s="164" t="s">
        <v>207</v>
      </c>
      <c r="B28" s="169">
        <f>E32</f>
        <v>438</v>
      </c>
      <c r="C28" s="109"/>
      <c r="D28" s="164" t="s">
        <v>208</v>
      </c>
      <c r="E28" s="29">
        <v>66</v>
      </c>
      <c r="F28" s="29">
        <v>1</v>
      </c>
      <c r="G28" s="168">
        <f>F28/E28</f>
        <v>1.5151515151515152E-2</v>
      </c>
      <c r="H28" s="29">
        <v>68</v>
      </c>
      <c r="I28" s="193">
        <f>H28/H32</f>
        <v>0.15011037527593818</v>
      </c>
    </row>
    <row r="29" spans="1:9" ht="24" customHeight="1">
      <c r="A29" s="170" t="s">
        <v>209</v>
      </c>
      <c r="B29" s="171">
        <f>Assistencial!F15</f>
        <v>732</v>
      </c>
      <c r="D29" s="164" t="s">
        <v>210</v>
      </c>
      <c r="E29" s="29">
        <v>7</v>
      </c>
      <c r="F29" s="29">
        <v>1</v>
      </c>
      <c r="G29" s="168">
        <f>F29/E29</f>
        <v>0.14285714285714285</v>
      </c>
      <c r="H29" s="29">
        <v>8</v>
      </c>
      <c r="I29" s="193">
        <f>H29/H32</f>
        <v>1.7660044150110375E-2</v>
      </c>
    </row>
    <row r="30" spans="1:9" ht="18.95" customHeight="1">
      <c r="A30" s="146"/>
      <c r="B30" s="109"/>
      <c r="D30" s="164" t="s">
        <v>211</v>
      </c>
      <c r="E30" s="29">
        <v>1</v>
      </c>
      <c r="F30" s="29">
        <v>0</v>
      </c>
      <c r="G30" s="168">
        <f>F30/E30</f>
        <v>0</v>
      </c>
      <c r="H30" s="29">
        <v>1</v>
      </c>
      <c r="I30" s="193">
        <f>H30/H32</f>
        <v>2.2075055187637969E-3</v>
      </c>
    </row>
    <row r="31" spans="1:9" ht="33" customHeight="1">
      <c r="A31" s="567" t="s">
        <v>212</v>
      </c>
      <c r="B31" s="568"/>
      <c r="C31" s="172"/>
      <c r="D31" s="170" t="s">
        <v>213</v>
      </c>
      <c r="E31" s="173">
        <v>0</v>
      </c>
      <c r="F31" s="174">
        <v>0</v>
      </c>
      <c r="G31" s="174" t="s">
        <v>57</v>
      </c>
      <c r="H31" s="174" t="s">
        <v>57</v>
      </c>
      <c r="I31" s="194" t="s">
        <v>57</v>
      </c>
    </row>
    <row r="32" spans="1:9" ht="18.95" customHeight="1">
      <c r="A32" s="164"/>
      <c r="B32" s="175" t="s">
        <v>214</v>
      </c>
      <c r="C32" s="172"/>
      <c r="D32" s="176" t="s">
        <v>14</v>
      </c>
      <c r="E32" s="177">
        <f>SUM(E26:E31)</f>
        <v>438</v>
      </c>
      <c r="F32" s="177">
        <f>SUM(F26:F30)</f>
        <v>3</v>
      </c>
      <c r="G32" s="178">
        <f>SUM(G26:G30)</f>
        <v>0.16184007563317906</v>
      </c>
      <c r="H32" s="177">
        <f>SUM(H26:H30)</f>
        <v>453</v>
      </c>
      <c r="I32" s="195">
        <f>SUM(I26:I30)</f>
        <v>1</v>
      </c>
    </row>
    <row r="33" spans="1:9" ht="45" customHeight="1">
      <c r="A33" s="179" t="s">
        <v>202</v>
      </c>
      <c r="B33" s="180">
        <f>B27/B28</f>
        <v>6.8493150684931503E-3</v>
      </c>
      <c r="C33" s="172"/>
      <c r="D33" s="563" t="s">
        <v>215</v>
      </c>
      <c r="E33" s="563"/>
      <c r="F33" s="563"/>
      <c r="G33" s="563"/>
      <c r="H33" s="563"/>
      <c r="I33" s="569"/>
    </row>
    <row r="34" spans="1:9" ht="18" customHeight="1">
      <c r="A34" s="146"/>
      <c r="C34" s="172"/>
      <c r="I34" s="145"/>
    </row>
    <row r="35" spans="1:9" ht="33" customHeight="1">
      <c r="A35" s="570" t="s">
        <v>216</v>
      </c>
      <c r="B35" s="571"/>
      <c r="C35" s="172"/>
      <c r="I35" s="145"/>
    </row>
    <row r="36" spans="1:9" ht="18.95" customHeight="1">
      <c r="A36" s="146"/>
      <c r="B36" s="181" t="s">
        <v>214</v>
      </c>
      <c r="C36" s="172"/>
      <c r="I36" s="145"/>
    </row>
    <row r="37" spans="1:9" ht="24.95" customHeight="1">
      <c r="A37" s="179" t="s">
        <v>217</v>
      </c>
      <c r="B37" s="180">
        <f>B26/B29</f>
        <v>3.6885245901639344E-2</v>
      </c>
      <c r="C37" s="172"/>
      <c r="I37" s="145"/>
    </row>
    <row r="38" spans="1:9" ht="24.95" customHeight="1">
      <c r="A38" s="146"/>
      <c r="C38" s="172"/>
      <c r="I38" s="145"/>
    </row>
    <row r="39" spans="1:9" ht="19.5" customHeight="1">
      <c r="A39" s="567" t="s">
        <v>218</v>
      </c>
      <c r="B39" s="572"/>
      <c r="C39" s="572"/>
      <c r="D39" s="572"/>
      <c r="E39" s="572"/>
      <c r="F39" s="572"/>
      <c r="G39" s="572"/>
      <c r="H39" s="568"/>
      <c r="I39" s="145"/>
    </row>
    <row r="40" spans="1:9" ht="19.5" customHeight="1">
      <c r="A40" s="164"/>
      <c r="B40" s="182" t="s">
        <v>219</v>
      </c>
      <c r="C40" s="182" t="s">
        <v>220</v>
      </c>
      <c r="D40" s="182" t="s">
        <v>221</v>
      </c>
      <c r="E40" s="182" t="s">
        <v>222</v>
      </c>
      <c r="F40" s="182" t="s">
        <v>223</v>
      </c>
      <c r="G40" s="182" t="s">
        <v>224</v>
      </c>
      <c r="H40" s="183" t="s">
        <v>225</v>
      </c>
      <c r="I40" s="145"/>
    </row>
    <row r="41" spans="1:9" ht="19.5" customHeight="1">
      <c r="A41" s="164" t="s">
        <v>226</v>
      </c>
      <c r="B41" s="29">
        <v>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7">
        <v>0</v>
      </c>
      <c r="I41" s="145"/>
    </row>
    <row r="42" spans="1:9" ht="19.5" customHeight="1">
      <c r="A42" s="164" t="s">
        <v>227</v>
      </c>
      <c r="B42" s="29"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7">
        <v>0</v>
      </c>
      <c r="I42" s="145"/>
    </row>
    <row r="43" spans="1:9" ht="19.5" customHeight="1">
      <c r="A43" s="164" t="s">
        <v>228</v>
      </c>
      <c r="B43" s="29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7">
        <v>0</v>
      </c>
      <c r="I43" s="145"/>
    </row>
    <row r="44" spans="1:9" ht="19.5" customHeight="1">
      <c r="A44" s="164" t="s">
        <v>229</v>
      </c>
      <c r="B44" s="29">
        <v>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7">
        <v>0</v>
      </c>
      <c r="I44" s="145"/>
    </row>
    <row r="45" spans="1:9" ht="19.5" customHeight="1">
      <c r="A45" s="164" t="s">
        <v>230</v>
      </c>
      <c r="B45" s="29">
        <v>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7">
        <v>0</v>
      </c>
      <c r="I45" s="145"/>
    </row>
    <row r="46" spans="1:9" ht="19.5" customHeight="1">
      <c r="A46" s="164" t="s">
        <v>231</v>
      </c>
      <c r="B46" s="29">
        <v>0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7">
        <v>0</v>
      </c>
      <c r="I46" s="145"/>
    </row>
    <row r="47" spans="1:9" ht="19.5" customHeight="1">
      <c r="A47" s="164" t="s">
        <v>232</v>
      </c>
      <c r="B47" s="29">
        <v>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7">
        <v>0</v>
      </c>
      <c r="I47" s="145"/>
    </row>
    <row r="48" spans="1:9" ht="19.5" customHeight="1">
      <c r="A48" s="164" t="s">
        <v>233</v>
      </c>
      <c r="B48" s="29">
        <v>3</v>
      </c>
      <c r="C48" s="29">
        <v>3</v>
      </c>
      <c r="D48" s="29">
        <v>0</v>
      </c>
      <c r="E48" s="29">
        <v>0</v>
      </c>
      <c r="F48" s="29">
        <v>0</v>
      </c>
      <c r="G48" s="29">
        <v>0</v>
      </c>
      <c r="H48" s="27">
        <v>0</v>
      </c>
      <c r="I48" s="145"/>
    </row>
    <row r="49" spans="1:9" ht="19.5" customHeight="1">
      <c r="A49" s="164" t="s">
        <v>234</v>
      </c>
      <c r="B49" s="29">
        <v>7</v>
      </c>
      <c r="C49" s="29">
        <v>7</v>
      </c>
      <c r="D49" s="29">
        <v>0</v>
      </c>
      <c r="E49" s="29">
        <v>0</v>
      </c>
      <c r="F49" s="29">
        <v>0</v>
      </c>
      <c r="G49" s="29">
        <v>0</v>
      </c>
      <c r="H49" s="27">
        <v>0</v>
      </c>
      <c r="I49" s="145"/>
    </row>
    <row r="50" spans="1:9" ht="19.5" customHeight="1">
      <c r="A50" s="164" t="s">
        <v>235</v>
      </c>
      <c r="B50" s="29">
        <v>80</v>
      </c>
      <c r="C50" s="29">
        <v>80</v>
      </c>
      <c r="D50" s="29">
        <v>0</v>
      </c>
      <c r="E50" s="29">
        <v>1</v>
      </c>
      <c r="F50" s="29">
        <v>0</v>
      </c>
      <c r="G50" s="29">
        <v>0</v>
      </c>
      <c r="H50" s="27">
        <v>0</v>
      </c>
      <c r="I50" s="145"/>
    </row>
    <row r="51" spans="1:9" ht="19.5" customHeight="1">
      <c r="A51" s="170" t="s">
        <v>14</v>
      </c>
      <c r="B51" s="184">
        <f>SUM(B41:B50)</f>
        <v>90</v>
      </c>
      <c r="C51" s="184">
        <f t="shared" ref="C51:H51" si="0">SUM(C41:C50)</f>
        <v>90</v>
      </c>
      <c r="D51" s="184">
        <f t="shared" si="0"/>
        <v>0</v>
      </c>
      <c r="E51" s="184">
        <f t="shared" si="0"/>
        <v>1</v>
      </c>
      <c r="F51" s="184">
        <f t="shared" si="0"/>
        <v>0</v>
      </c>
      <c r="G51" s="184">
        <f t="shared" si="0"/>
        <v>0</v>
      </c>
      <c r="H51" s="185">
        <f t="shared" si="0"/>
        <v>0</v>
      </c>
      <c r="I51" s="196"/>
    </row>
    <row r="52" spans="1:9" ht="19.5" customHeight="1">
      <c r="B52" s="109"/>
      <c r="C52" s="109"/>
      <c r="D52" s="109"/>
      <c r="E52" s="109"/>
      <c r="F52" s="109"/>
      <c r="G52" s="109"/>
      <c r="H52" s="109"/>
    </row>
    <row r="53" spans="1:9" ht="19.5" customHeight="1">
      <c r="A53"/>
      <c r="B53"/>
      <c r="C53"/>
      <c r="D53"/>
    </row>
    <row r="54" spans="1:9" ht="30" customHeight="1">
      <c r="A54" s="573" t="s">
        <v>236</v>
      </c>
      <c r="B54" s="574"/>
      <c r="C54" s="574"/>
      <c r="D54" s="575"/>
    </row>
    <row r="55" spans="1:9" ht="41.1" customHeight="1">
      <c r="A55" s="559" t="s">
        <v>237</v>
      </c>
      <c r="B55" s="560"/>
      <c r="C55" s="186">
        <v>3</v>
      </c>
      <c r="D55" s="565">
        <f>C55/C56</f>
        <v>6.6666666666666666E-2</v>
      </c>
    </row>
    <row r="56" spans="1:9" ht="33.950000000000003" customHeight="1">
      <c r="A56" s="561" t="s">
        <v>238</v>
      </c>
      <c r="B56" s="562"/>
      <c r="C56" s="187">
        <v>45</v>
      </c>
      <c r="D56" s="566"/>
    </row>
    <row r="57" spans="1:9" ht="80.099999999999994" customHeight="1">
      <c r="A57" s="563" t="s">
        <v>239</v>
      </c>
      <c r="B57" s="564"/>
      <c r="C57" s="564"/>
      <c r="D57" s="564"/>
      <c r="H57" s="188"/>
    </row>
    <row r="61" spans="1:9" ht="38.1" customHeight="1"/>
    <row r="62" spans="1:9" ht="27" customHeight="1"/>
    <row r="65" ht="29.1" customHeight="1"/>
    <row r="66" ht="26.1" customHeight="1"/>
  </sheetData>
  <mergeCells count="25">
    <mergeCell ref="A1:I1"/>
    <mergeCell ref="B3:E3"/>
    <mergeCell ref="B4:C4"/>
    <mergeCell ref="A6:B6"/>
    <mergeCell ref="A7:B7"/>
    <mergeCell ref="A8:B8"/>
    <mergeCell ref="A10:F10"/>
    <mergeCell ref="B11:C11"/>
    <mergeCell ref="D11:E11"/>
    <mergeCell ref="B12:C12"/>
    <mergeCell ref="D12:E12"/>
    <mergeCell ref="B14:F14"/>
    <mergeCell ref="B18:D18"/>
    <mergeCell ref="A21:F21"/>
    <mergeCell ref="A24:B24"/>
    <mergeCell ref="D24:I24"/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82"/>
  <sheetViews>
    <sheetView showGridLines="0" showWhiteSpace="0" view="pageBreakPreview" topLeftCell="A34" zoomScaleNormal="100" zoomScaleSheetLayoutView="100" zoomScalePageLayoutView="70" workbookViewId="0">
      <selection activeCell="C9" sqref="C9"/>
    </sheetView>
  </sheetViews>
  <sheetFormatPr defaultColWidth="9" defaultRowHeight="15"/>
  <cols>
    <col min="1" max="1" width="35.140625" style="45" customWidth="1"/>
    <col min="2" max="2" width="12.5703125" style="46" customWidth="1"/>
    <col min="3" max="3" width="12.28515625" style="47" customWidth="1"/>
    <col min="4" max="4" width="47.85546875" style="47" customWidth="1"/>
    <col min="5" max="5" width="14.140625" style="47" customWidth="1"/>
    <col min="6" max="6" width="9.5703125" style="47" customWidth="1"/>
    <col min="7" max="7" width="8" style="46" customWidth="1"/>
    <col min="8" max="8" width="10.7109375" style="46" customWidth="1"/>
    <col min="9" max="9" width="41" style="46" customWidth="1"/>
    <col min="10" max="12" width="14.5703125" style="45" customWidth="1"/>
    <col min="13" max="16381" width="9.140625" style="45"/>
    <col min="16382" max="16384" width="9" style="45"/>
  </cols>
  <sheetData>
    <row r="1" spans="1:12" ht="18.600000000000001" customHeight="1">
      <c r="A1" s="617" t="s">
        <v>265</v>
      </c>
      <c r="B1" s="618"/>
      <c r="C1" s="618"/>
      <c r="D1" s="618"/>
      <c r="E1" s="618"/>
      <c r="F1" s="618"/>
      <c r="G1" s="618"/>
      <c r="H1" s="618"/>
      <c r="I1" s="618"/>
      <c r="J1" s="618"/>
      <c r="K1" s="618"/>
      <c r="L1" s="619"/>
    </row>
    <row r="2" spans="1:12" ht="18.600000000000001" customHeight="1">
      <c r="A2" s="48"/>
      <c r="B2" s="49"/>
      <c r="C2" s="50"/>
      <c r="D2" s="50"/>
      <c r="E2" s="50"/>
      <c r="F2" s="50"/>
      <c r="G2" s="50"/>
      <c r="H2" s="50"/>
      <c r="I2" s="49"/>
      <c r="J2" s="90"/>
      <c r="K2" s="90"/>
      <c r="L2" s="91"/>
    </row>
    <row r="3" spans="1:12" ht="18.600000000000001" customHeight="1">
      <c r="A3" s="51" t="s">
        <v>6</v>
      </c>
      <c r="B3" s="620" t="str">
        <f>Capa!D5</f>
        <v>HOSPITAL REGIONAL TEREZINHA GAIO BASSO</v>
      </c>
      <c r="C3" s="621"/>
      <c r="D3" s="621"/>
      <c r="E3" s="621"/>
      <c r="G3" s="47"/>
      <c r="H3" s="47"/>
      <c r="I3" s="81"/>
      <c r="L3" s="78"/>
    </row>
    <row r="4" spans="1:12" ht="18.600000000000001" customHeight="1">
      <c r="A4" s="51" t="s">
        <v>7</v>
      </c>
      <c r="B4" s="622">
        <v>45689</v>
      </c>
      <c r="C4" s="622"/>
      <c r="G4" s="47"/>
      <c r="H4" s="47"/>
      <c r="L4" s="78"/>
    </row>
    <row r="5" spans="1:12" ht="18.600000000000001" customHeight="1">
      <c r="A5" s="51"/>
      <c r="G5" s="47"/>
      <c r="H5" s="47"/>
      <c r="L5" s="78"/>
    </row>
    <row r="6" spans="1:12" ht="18.600000000000001" customHeight="1">
      <c r="A6" s="606" t="s">
        <v>266</v>
      </c>
      <c r="B6" s="607"/>
      <c r="C6" s="52"/>
      <c r="D6" s="623" t="s">
        <v>267</v>
      </c>
      <c r="E6" s="624"/>
      <c r="F6" s="624"/>
      <c r="G6" s="625"/>
      <c r="H6" s="45"/>
      <c r="I6" s="626" t="s">
        <v>268</v>
      </c>
      <c r="J6" s="627"/>
      <c r="K6" s="627"/>
      <c r="L6" s="628"/>
    </row>
    <row r="7" spans="1:12" ht="18.600000000000001" customHeight="1">
      <c r="A7" s="53"/>
      <c r="B7" s="54" t="s">
        <v>42</v>
      </c>
      <c r="C7" s="52"/>
      <c r="D7" s="55" t="s">
        <v>269</v>
      </c>
      <c r="E7" s="611"/>
      <c r="F7" s="611"/>
      <c r="G7" s="612"/>
      <c r="H7" s="56"/>
      <c r="I7" s="610" t="s">
        <v>269</v>
      </c>
      <c r="J7" s="613"/>
      <c r="K7" s="613"/>
      <c r="L7" s="614"/>
    </row>
    <row r="8" spans="1:12" ht="30">
      <c r="A8" s="57" t="s">
        <v>270</v>
      </c>
      <c r="B8" s="58">
        <f>B19+B29+B38+B48+B52+F72+K26</f>
        <v>523</v>
      </c>
      <c r="C8" s="52"/>
      <c r="D8" s="55"/>
      <c r="E8" s="59" t="s">
        <v>271</v>
      </c>
      <c r="F8" s="59" t="s">
        <v>272</v>
      </c>
      <c r="G8" s="60" t="s">
        <v>273</v>
      </c>
      <c r="H8" s="56"/>
      <c r="I8" s="610"/>
      <c r="J8" s="59" t="s">
        <v>271</v>
      </c>
      <c r="K8" s="59" t="s">
        <v>272</v>
      </c>
      <c r="L8" s="60" t="s">
        <v>273</v>
      </c>
    </row>
    <row r="9" spans="1:12" ht="18.600000000000001" customHeight="1">
      <c r="A9" s="61"/>
      <c r="B9" s="62" t="str">
        <f>IF(B19+B29+B38+B48+B52+E72+F72+G72+J26+K26+L26=B8,"OK","REVER")</f>
        <v>OK</v>
      </c>
      <c r="C9" s="52"/>
      <c r="D9" s="63" t="s">
        <v>274</v>
      </c>
      <c r="E9" s="64"/>
      <c r="F9" s="424">
        <v>1</v>
      </c>
      <c r="G9" s="65"/>
      <c r="H9" s="45"/>
      <c r="I9" s="63" t="s">
        <v>275</v>
      </c>
      <c r="J9" s="92"/>
      <c r="K9" s="427">
        <v>2</v>
      </c>
      <c r="L9" s="93"/>
    </row>
    <row r="10" spans="1:12" ht="18.600000000000001" customHeight="1">
      <c r="A10" s="61"/>
      <c r="B10" s="45"/>
      <c r="C10" s="52"/>
      <c r="D10" s="63" t="s">
        <v>276</v>
      </c>
      <c r="E10" s="64"/>
      <c r="F10" s="424">
        <v>1</v>
      </c>
      <c r="G10" s="65"/>
      <c r="H10" s="45"/>
      <c r="I10" s="63" t="s">
        <v>277</v>
      </c>
      <c r="J10" s="92"/>
      <c r="K10" s="427">
        <v>16</v>
      </c>
      <c r="L10" s="93"/>
    </row>
    <row r="11" spans="1:12" ht="18.600000000000001" customHeight="1">
      <c r="A11" s="606" t="s">
        <v>278</v>
      </c>
      <c r="B11" s="607"/>
      <c r="C11" s="52"/>
      <c r="D11" s="63" t="s">
        <v>279</v>
      </c>
      <c r="E11" s="64"/>
      <c r="F11" s="424">
        <v>1</v>
      </c>
      <c r="G11" s="65"/>
      <c r="H11" s="45"/>
      <c r="I11" s="63" t="s">
        <v>280</v>
      </c>
      <c r="J11" s="92"/>
      <c r="K11" s="427"/>
      <c r="L11" s="93"/>
    </row>
    <row r="12" spans="1:12" ht="18.600000000000001" customHeight="1">
      <c r="A12" s="53"/>
      <c r="B12" s="54" t="s">
        <v>42</v>
      </c>
      <c r="C12" s="52"/>
      <c r="D12" s="63" t="s">
        <v>281</v>
      </c>
      <c r="E12" s="64"/>
      <c r="F12" s="424">
        <v>1</v>
      </c>
      <c r="G12" s="65"/>
      <c r="H12" s="45"/>
      <c r="I12" s="63" t="s">
        <v>282</v>
      </c>
      <c r="J12" s="92"/>
      <c r="K12" s="427">
        <v>6</v>
      </c>
      <c r="L12" s="93"/>
    </row>
    <row r="13" spans="1:12" ht="18.600000000000001" customHeight="1">
      <c r="A13" s="53" t="s">
        <v>283</v>
      </c>
      <c r="B13" s="66">
        <v>10</v>
      </c>
      <c r="C13" s="52"/>
      <c r="D13" s="63" t="s">
        <v>284</v>
      </c>
      <c r="E13" s="64"/>
      <c r="F13" s="424">
        <v>3</v>
      </c>
      <c r="G13" s="65"/>
      <c r="H13" s="45"/>
      <c r="I13" s="63" t="s">
        <v>285</v>
      </c>
      <c r="J13" s="92"/>
      <c r="K13" s="427">
        <v>7</v>
      </c>
      <c r="L13" s="93"/>
    </row>
    <row r="14" spans="1:12" ht="18.600000000000001" customHeight="1">
      <c r="A14" s="53" t="s">
        <v>286</v>
      </c>
      <c r="B14" s="66">
        <v>12</v>
      </c>
      <c r="C14" s="52"/>
      <c r="D14" s="63" t="s">
        <v>287</v>
      </c>
      <c r="E14" s="64"/>
      <c r="F14" s="424">
        <v>2</v>
      </c>
      <c r="G14" s="65"/>
      <c r="H14" s="45"/>
      <c r="I14" s="63" t="s">
        <v>288</v>
      </c>
      <c r="J14" s="92"/>
      <c r="K14" s="427">
        <v>2</v>
      </c>
      <c r="L14" s="93"/>
    </row>
    <row r="15" spans="1:12" ht="18.600000000000001" customHeight="1">
      <c r="A15" s="67" t="s">
        <v>289</v>
      </c>
      <c r="B15" s="68">
        <v>425</v>
      </c>
      <c r="C15" s="52"/>
      <c r="D15" s="63" t="s">
        <v>290</v>
      </c>
      <c r="E15" s="64"/>
      <c r="F15" s="424">
        <v>1</v>
      </c>
      <c r="G15" s="65"/>
      <c r="H15" s="45"/>
      <c r="I15" s="63" t="s">
        <v>291</v>
      </c>
      <c r="J15" s="92"/>
      <c r="K15" s="427">
        <v>1</v>
      </c>
      <c r="L15" s="93"/>
    </row>
    <row r="16" spans="1:12" ht="28.5" customHeight="1">
      <c r="A16" s="69"/>
      <c r="B16" s="70"/>
      <c r="C16" s="52"/>
      <c r="D16" s="63" t="s">
        <v>292</v>
      </c>
      <c r="E16" s="64"/>
      <c r="F16" s="424">
        <v>0</v>
      </c>
      <c r="G16" s="65"/>
      <c r="H16" s="45"/>
      <c r="I16" s="63" t="s">
        <v>293</v>
      </c>
      <c r="J16" s="92"/>
      <c r="K16" s="427">
        <v>8</v>
      </c>
      <c r="L16" s="93"/>
    </row>
    <row r="17" spans="1:12" ht="18.95" customHeight="1">
      <c r="A17" s="615" t="s">
        <v>294</v>
      </c>
      <c r="B17" s="616"/>
      <c r="C17" s="52"/>
      <c r="D17" s="63" t="s">
        <v>295</v>
      </c>
      <c r="E17" s="64"/>
      <c r="F17" s="424">
        <v>1</v>
      </c>
      <c r="G17" s="65"/>
      <c r="H17" s="45"/>
      <c r="I17" s="63" t="s">
        <v>296</v>
      </c>
      <c r="J17" s="92"/>
      <c r="K17" s="427">
        <v>1</v>
      </c>
      <c r="L17" s="93"/>
    </row>
    <row r="18" spans="1:12" ht="29.1" customHeight="1">
      <c r="A18" s="71"/>
      <c r="B18" s="72" t="s">
        <v>42</v>
      </c>
      <c r="C18" s="52"/>
      <c r="D18" s="63" t="s">
        <v>297</v>
      </c>
      <c r="E18" s="64"/>
      <c r="F18" s="424">
        <v>3</v>
      </c>
      <c r="G18" s="65"/>
      <c r="H18" s="45"/>
      <c r="I18" s="63" t="s">
        <v>298</v>
      </c>
      <c r="J18" s="92"/>
      <c r="K18" s="427">
        <v>12</v>
      </c>
      <c r="L18" s="93"/>
    </row>
    <row r="19" spans="1:12" ht="31.5" customHeight="1">
      <c r="A19" s="67" t="s">
        <v>299</v>
      </c>
      <c r="B19" s="73">
        <f>SUM(B20:B23)</f>
        <v>97</v>
      </c>
      <c r="C19" s="52"/>
      <c r="D19" s="63" t="s">
        <v>300</v>
      </c>
      <c r="E19" s="64"/>
      <c r="F19" s="424">
        <v>1</v>
      </c>
      <c r="G19" s="65"/>
      <c r="H19" s="45"/>
      <c r="I19" s="63" t="s">
        <v>301</v>
      </c>
      <c r="J19" s="92"/>
      <c r="K19" s="427">
        <v>1</v>
      </c>
      <c r="L19" s="93"/>
    </row>
    <row r="20" spans="1:12" ht="18.600000000000001" customHeight="1">
      <c r="A20" s="53" t="s">
        <v>302</v>
      </c>
      <c r="B20" s="74">
        <v>97</v>
      </c>
      <c r="C20" s="52"/>
      <c r="D20" s="63" t="s">
        <v>303</v>
      </c>
      <c r="E20" s="64"/>
      <c r="F20" s="424">
        <v>1</v>
      </c>
      <c r="G20" s="65"/>
      <c r="H20" s="45"/>
      <c r="I20" s="63" t="s">
        <v>304</v>
      </c>
      <c r="J20" s="92"/>
      <c r="K20" s="427">
        <v>2</v>
      </c>
      <c r="L20" s="93"/>
    </row>
    <row r="21" spans="1:12" ht="18.600000000000001" customHeight="1">
      <c r="A21" s="75" t="s">
        <v>271</v>
      </c>
      <c r="B21" s="74">
        <v>0</v>
      </c>
      <c r="C21" s="52"/>
      <c r="D21" s="63" t="s">
        <v>305</v>
      </c>
      <c r="E21" s="64"/>
      <c r="F21" s="424">
        <v>1</v>
      </c>
      <c r="G21" s="65"/>
      <c r="H21" s="45"/>
      <c r="I21" s="63" t="s">
        <v>306</v>
      </c>
      <c r="J21" s="92"/>
      <c r="K21" s="427">
        <v>2</v>
      </c>
      <c r="L21" s="93"/>
    </row>
    <row r="22" spans="1:12" ht="18.600000000000001" customHeight="1">
      <c r="A22" s="75" t="s">
        <v>307</v>
      </c>
      <c r="B22" s="76">
        <v>0</v>
      </c>
      <c r="C22" s="46"/>
      <c r="D22" s="63" t="s">
        <v>308</v>
      </c>
      <c r="E22" s="64"/>
      <c r="F22" s="424">
        <v>2</v>
      </c>
      <c r="G22" s="65"/>
      <c r="H22" s="45"/>
      <c r="I22" s="88" t="s">
        <v>309</v>
      </c>
      <c r="J22" s="94"/>
      <c r="K22" s="428">
        <v>0</v>
      </c>
      <c r="L22" s="95"/>
    </row>
    <row r="23" spans="1:12" ht="18.600000000000001" customHeight="1">
      <c r="A23" s="67" t="s">
        <v>310</v>
      </c>
      <c r="B23" s="77">
        <v>0</v>
      </c>
      <c r="C23" s="46"/>
      <c r="D23" s="63" t="s">
        <v>311</v>
      </c>
      <c r="E23" s="64"/>
      <c r="F23" s="424">
        <v>5</v>
      </c>
      <c r="G23" s="65"/>
      <c r="H23" s="45"/>
      <c r="I23" s="87" t="s">
        <v>312</v>
      </c>
      <c r="J23" s="96"/>
      <c r="K23" s="96"/>
      <c r="L23" s="96"/>
    </row>
    <row r="24" spans="1:12" ht="18.600000000000001" customHeight="1">
      <c r="A24" s="69"/>
      <c r="B24" s="56"/>
      <c r="C24" s="46"/>
      <c r="D24" s="63" t="s">
        <v>313</v>
      </c>
      <c r="E24" s="64"/>
      <c r="F24" s="424">
        <v>7</v>
      </c>
      <c r="G24" s="65"/>
      <c r="H24" s="45"/>
      <c r="I24" s="96"/>
      <c r="J24" s="97"/>
      <c r="K24" s="96"/>
      <c r="L24" s="96"/>
    </row>
    <row r="25" spans="1:12" ht="18.600000000000001" customHeight="1">
      <c r="A25" s="69"/>
      <c r="B25" s="56"/>
      <c r="C25" s="46"/>
      <c r="D25" s="63" t="s">
        <v>314</v>
      </c>
      <c r="E25" s="64"/>
      <c r="F25" s="424">
        <v>10</v>
      </c>
      <c r="G25" s="65"/>
      <c r="H25" s="45"/>
      <c r="I25" s="96"/>
      <c r="J25" s="97"/>
      <c r="K25" s="96"/>
      <c r="L25" s="96"/>
    </row>
    <row r="26" spans="1:12" ht="18.600000000000001" customHeight="1">
      <c r="A26" s="61"/>
      <c r="B26" s="47"/>
      <c r="C26" s="46"/>
      <c r="D26" s="63" t="s">
        <v>315</v>
      </c>
      <c r="E26" s="64"/>
      <c r="F26" s="424">
        <v>25</v>
      </c>
      <c r="G26" s="65"/>
      <c r="H26" s="45"/>
      <c r="I26" s="79" t="s">
        <v>39</v>
      </c>
      <c r="J26" s="98">
        <f>SUM(J9:J25)</f>
        <v>0</v>
      </c>
      <c r="K26" s="98">
        <f>SUM(K9:K25)</f>
        <v>60</v>
      </c>
      <c r="L26" s="98">
        <f>SUM(L9:L25)</f>
        <v>0</v>
      </c>
    </row>
    <row r="27" spans="1:12">
      <c r="A27" s="606" t="s">
        <v>316</v>
      </c>
      <c r="B27" s="607"/>
      <c r="C27" s="46"/>
      <c r="D27" s="63" t="s">
        <v>317</v>
      </c>
      <c r="E27" s="45"/>
      <c r="F27" s="425">
        <v>1</v>
      </c>
      <c r="G27" s="78"/>
      <c r="H27" s="45"/>
      <c r="I27" s="45"/>
      <c r="J27" s="47"/>
      <c r="L27" s="78"/>
    </row>
    <row r="28" spans="1:12" ht="18.600000000000001" customHeight="1">
      <c r="A28" s="53"/>
      <c r="B28" s="54" t="s">
        <v>42</v>
      </c>
      <c r="C28" s="46"/>
      <c r="D28" s="63" t="s">
        <v>318</v>
      </c>
      <c r="E28" s="64"/>
      <c r="F28" s="424">
        <v>1</v>
      </c>
      <c r="G28" s="65"/>
      <c r="H28" s="45"/>
      <c r="I28" s="45"/>
      <c r="J28" s="47"/>
      <c r="L28" s="78"/>
    </row>
    <row r="29" spans="1:12">
      <c r="A29" s="67" t="s">
        <v>319</v>
      </c>
      <c r="B29" s="73">
        <f>SUM(B30:B32)</f>
        <v>41</v>
      </c>
      <c r="C29" s="46"/>
      <c r="D29" s="63" t="s">
        <v>320</v>
      </c>
      <c r="E29" s="64"/>
      <c r="F29" s="424">
        <v>1</v>
      </c>
      <c r="G29" s="65"/>
      <c r="H29" s="45"/>
      <c r="I29" s="45"/>
      <c r="J29" s="47"/>
      <c r="L29" s="78"/>
    </row>
    <row r="30" spans="1:12" ht="18.600000000000001" customHeight="1">
      <c r="A30" s="75" t="s">
        <v>271</v>
      </c>
      <c r="B30" s="74">
        <v>0</v>
      </c>
      <c r="D30" s="63" t="s">
        <v>321</v>
      </c>
      <c r="E30" s="64"/>
      <c r="F30" s="424">
        <v>1</v>
      </c>
      <c r="G30" s="65"/>
      <c r="H30" s="45"/>
      <c r="I30" s="45"/>
      <c r="J30" s="47"/>
      <c r="L30" s="78"/>
    </row>
    <row r="31" spans="1:12" ht="18.600000000000001" customHeight="1">
      <c r="A31" s="75" t="s">
        <v>307</v>
      </c>
      <c r="B31" s="76">
        <v>41</v>
      </c>
      <c r="D31" s="63" t="s">
        <v>322</v>
      </c>
      <c r="E31" s="79"/>
      <c r="F31" s="426"/>
      <c r="G31" s="80"/>
      <c r="H31" s="45"/>
      <c r="I31" s="45"/>
      <c r="J31" s="47"/>
      <c r="L31" s="78"/>
    </row>
    <row r="32" spans="1:12" ht="18.600000000000001" customHeight="1">
      <c r="A32" s="67" t="s">
        <v>310</v>
      </c>
      <c r="B32" s="77">
        <v>0</v>
      </c>
      <c r="D32" s="63" t="s">
        <v>323</v>
      </c>
      <c r="E32" s="79"/>
      <c r="F32" s="426">
        <v>8</v>
      </c>
      <c r="G32" s="80"/>
      <c r="H32" s="45"/>
      <c r="I32" s="45"/>
      <c r="J32" s="47"/>
      <c r="L32" s="78"/>
    </row>
    <row r="33" spans="1:12" ht="18.600000000000001" customHeight="1">
      <c r="A33" s="69"/>
      <c r="B33" s="56"/>
      <c r="C33" s="81"/>
      <c r="D33" s="63" t="s">
        <v>324</v>
      </c>
      <c r="E33" s="79"/>
      <c r="F33" s="426">
        <v>1</v>
      </c>
      <c r="G33" s="80"/>
      <c r="H33" s="45"/>
      <c r="I33" s="45"/>
      <c r="J33" s="47"/>
      <c r="L33" s="78"/>
    </row>
    <row r="34" spans="1:12" ht="18.600000000000001" customHeight="1">
      <c r="A34" s="69"/>
      <c r="B34" s="56"/>
      <c r="D34" s="63" t="s">
        <v>325</v>
      </c>
      <c r="E34" s="79"/>
      <c r="F34" s="426">
        <v>5</v>
      </c>
      <c r="G34" s="80"/>
      <c r="H34" s="45"/>
      <c r="I34" s="45"/>
      <c r="J34" s="47"/>
      <c r="L34" s="78"/>
    </row>
    <row r="35" spans="1:12" ht="18.600000000000001" customHeight="1">
      <c r="A35" s="82"/>
      <c r="D35" s="63" t="s">
        <v>326</v>
      </c>
      <c r="E35" s="79"/>
      <c r="F35" s="426">
        <v>1</v>
      </c>
      <c r="G35" s="80"/>
      <c r="H35" s="45"/>
      <c r="I35" s="45"/>
      <c r="L35" s="78"/>
    </row>
    <row r="36" spans="1:12" ht="18.600000000000001" customHeight="1">
      <c r="A36" s="606" t="s">
        <v>327</v>
      </c>
      <c r="B36" s="607"/>
      <c r="D36" s="63" t="s">
        <v>328</v>
      </c>
      <c r="E36" s="79"/>
      <c r="F36" s="426">
        <v>0</v>
      </c>
      <c r="G36" s="80"/>
      <c r="H36" s="45"/>
      <c r="I36" s="45"/>
      <c r="L36" s="78"/>
    </row>
    <row r="37" spans="1:12">
      <c r="A37" s="53"/>
      <c r="B37" s="54" t="s">
        <v>42</v>
      </c>
      <c r="D37" s="63" t="s">
        <v>329</v>
      </c>
      <c r="E37" s="79"/>
      <c r="F37" s="426">
        <v>1</v>
      </c>
      <c r="G37" s="80"/>
      <c r="H37" s="45"/>
      <c r="I37" s="45"/>
      <c r="L37" s="78"/>
    </row>
    <row r="38" spans="1:12">
      <c r="A38" s="57" t="s">
        <v>330</v>
      </c>
      <c r="B38" s="83">
        <f>SUM(B39:B41)</f>
        <v>183</v>
      </c>
      <c r="D38" s="63" t="s">
        <v>331</v>
      </c>
      <c r="E38" s="79"/>
      <c r="F38" s="426">
        <v>1</v>
      </c>
      <c r="G38" s="80"/>
      <c r="H38" s="45"/>
      <c r="I38" s="45"/>
      <c r="L38" s="78"/>
    </row>
    <row r="39" spans="1:12">
      <c r="A39" s="75" t="s">
        <v>271</v>
      </c>
      <c r="B39" s="74">
        <v>0</v>
      </c>
      <c r="D39" s="63" t="s">
        <v>332</v>
      </c>
      <c r="E39" s="79"/>
      <c r="F39" s="426">
        <v>2</v>
      </c>
      <c r="G39" s="80"/>
      <c r="H39" s="45"/>
      <c r="I39" s="45"/>
      <c r="L39" s="78"/>
    </row>
    <row r="40" spans="1:12">
      <c r="A40" s="75" t="s">
        <v>307</v>
      </c>
      <c r="B40" s="76">
        <v>183</v>
      </c>
      <c r="D40" s="63" t="s">
        <v>333</v>
      </c>
      <c r="E40" s="79"/>
      <c r="F40" s="426">
        <v>1</v>
      </c>
      <c r="G40" s="80"/>
      <c r="H40" s="45"/>
      <c r="I40" s="45"/>
      <c r="L40" s="78"/>
    </row>
    <row r="41" spans="1:12">
      <c r="A41" s="67" t="s">
        <v>310</v>
      </c>
      <c r="B41" s="77">
        <v>0</v>
      </c>
      <c r="D41" s="63" t="s">
        <v>334</v>
      </c>
      <c r="E41" s="79"/>
      <c r="F41" s="426">
        <v>1</v>
      </c>
      <c r="G41" s="80"/>
      <c r="H41" s="45"/>
      <c r="I41" s="45"/>
      <c r="L41" s="78"/>
    </row>
    <row r="42" spans="1:12">
      <c r="A42" s="69"/>
      <c r="B42" s="56"/>
      <c r="D42" s="63" t="s">
        <v>335</v>
      </c>
      <c r="E42" s="79"/>
      <c r="F42" s="426">
        <v>1</v>
      </c>
      <c r="G42" s="80"/>
      <c r="H42" s="45"/>
      <c r="I42" s="45"/>
      <c r="L42" s="78"/>
    </row>
    <row r="43" spans="1:12">
      <c r="A43" s="69"/>
      <c r="B43" s="56"/>
      <c r="D43" s="63" t="s">
        <v>336</v>
      </c>
      <c r="E43" s="79"/>
      <c r="F43" s="426">
        <v>1</v>
      </c>
      <c r="G43" s="80"/>
      <c r="H43" s="45"/>
      <c r="I43" s="45"/>
      <c r="L43" s="78"/>
    </row>
    <row r="44" spans="1:12">
      <c r="A44" s="61"/>
      <c r="D44" s="63" t="s">
        <v>337</v>
      </c>
      <c r="E44" s="79"/>
      <c r="F44" s="426">
        <v>1</v>
      </c>
      <c r="G44" s="80"/>
      <c r="H44" s="45"/>
      <c r="I44" s="45"/>
      <c r="L44" s="78"/>
    </row>
    <row r="45" spans="1:12" ht="30">
      <c r="A45" s="61"/>
      <c r="D45" s="63" t="s">
        <v>338</v>
      </c>
      <c r="E45" s="79"/>
      <c r="F45" s="426">
        <v>8</v>
      </c>
      <c r="G45" s="80"/>
      <c r="H45" s="45"/>
      <c r="I45" s="45"/>
      <c r="L45" s="78"/>
    </row>
    <row r="46" spans="1:12">
      <c r="A46" s="606" t="s">
        <v>339</v>
      </c>
      <c r="B46" s="607"/>
      <c r="D46" s="63" t="s">
        <v>340</v>
      </c>
      <c r="E46" s="79"/>
      <c r="F46" s="426">
        <v>1</v>
      </c>
      <c r="G46" s="80"/>
      <c r="H46" s="45"/>
      <c r="I46" s="45"/>
      <c r="L46" s="78"/>
    </row>
    <row r="47" spans="1:12">
      <c r="A47" s="53"/>
      <c r="B47" s="54" t="s">
        <v>42</v>
      </c>
      <c r="D47" s="63" t="s">
        <v>341</v>
      </c>
      <c r="E47" s="79"/>
      <c r="F47" s="426">
        <v>1</v>
      </c>
      <c r="G47" s="80"/>
      <c r="H47" s="45"/>
      <c r="I47" s="45"/>
      <c r="L47" s="78"/>
    </row>
    <row r="48" spans="1:12" ht="30">
      <c r="A48" s="57" t="s">
        <v>342</v>
      </c>
      <c r="B48" s="58">
        <v>0</v>
      </c>
      <c r="D48" s="63" t="s">
        <v>343</v>
      </c>
      <c r="E48" s="79"/>
      <c r="F48" s="426">
        <v>2</v>
      </c>
      <c r="G48" s="80"/>
      <c r="H48" s="45"/>
      <c r="I48" s="45"/>
      <c r="L48" s="78"/>
    </row>
    <row r="49" spans="1:12">
      <c r="A49" s="61"/>
      <c r="D49" s="63" t="s">
        <v>344</v>
      </c>
      <c r="E49" s="79"/>
      <c r="F49" s="426">
        <v>1</v>
      </c>
      <c r="G49" s="80"/>
      <c r="H49" s="45"/>
      <c r="I49" s="45"/>
      <c r="L49" s="78"/>
    </row>
    <row r="50" spans="1:12">
      <c r="A50" s="608" t="s">
        <v>345</v>
      </c>
      <c r="B50" s="609"/>
      <c r="D50" s="63" t="s">
        <v>346</v>
      </c>
      <c r="E50" s="79"/>
      <c r="F50" s="426">
        <v>2</v>
      </c>
      <c r="G50" s="80"/>
      <c r="H50" s="45"/>
      <c r="I50" s="45"/>
      <c r="L50" s="78"/>
    </row>
    <row r="51" spans="1:12">
      <c r="A51" s="432"/>
      <c r="B51" s="433" t="s">
        <v>42</v>
      </c>
      <c r="D51" s="63" t="s">
        <v>347</v>
      </c>
      <c r="E51" s="79"/>
      <c r="F51" s="426">
        <v>16</v>
      </c>
      <c r="G51" s="80"/>
      <c r="H51" s="45"/>
      <c r="I51" s="45"/>
      <c r="L51" s="78"/>
    </row>
    <row r="52" spans="1:12">
      <c r="A52" s="434" t="s">
        <v>796</v>
      </c>
      <c r="B52" s="435">
        <f>SUM(B53:B56)</f>
        <v>4</v>
      </c>
      <c r="D52" s="63" t="s">
        <v>348</v>
      </c>
      <c r="E52" s="79"/>
      <c r="F52" s="426">
        <v>1</v>
      </c>
      <c r="G52" s="80"/>
      <c r="H52" s="45"/>
      <c r="I52" s="45"/>
      <c r="L52" s="78"/>
    </row>
    <row r="53" spans="1:12">
      <c r="A53" s="84"/>
      <c r="B53" s="74">
        <v>4</v>
      </c>
      <c r="D53" s="63" t="s">
        <v>349</v>
      </c>
      <c r="E53" s="79"/>
      <c r="F53" s="426">
        <v>1</v>
      </c>
      <c r="G53" s="80"/>
      <c r="H53" s="45"/>
      <c r="I53" s="45"/>
      <c r="L53" s="78"/>
    </row>
    <row r="54" spans="1:12">
      <c r="A54" s="85"/>
      <c r="B54" s="74">
        <v>0</v>
      </c>
      <c r="D54" s="63" t="s">
        <v>350</v>
      </c>
      <c r="E54" s="79"/>
      <c r="F54" s="426">
        <v>0</v>
      </c>
      <c r="G54" s="80"/>
      <c r="H54" s="45"/>
      <c r="I54" s="45"/>
      <c r="L54" s="78"/>
    </row>
    <row r="55" spans="1:12">
      <c r="A55" s="53"/>
      <c r="B55" s="74">
        <v>0</v>
      </c>
      <c r="D55" s="63" t="s">
        <v>351</v>
      </c>
      <c r="E55" s="79"/>
      <c r="F55" s="426">
        <v>1</v>
      </c>
      <c r="G55" s="80"/>
      <c r="H55" s="45"/>
      <c r="I55" s="45"/>
      <c r="L55" s="78"/>
    </row>
    <row r="56" spans="1:12">
      <c r="A56" s="86"/>
      <c r="B56" s="77">
        <v>0</v>
      </c>
      <c r="D56" s="63" t="s">
        <v>352</v>
      </c>
      <c r="E56" s="79"/>
      <c r="F56" s="426">
        <v>2</v>
      </c>
      <c r="G56" s="80"/>
      <c r="H56" s="45"/>
      <c r="I56" s="45"/>
      <c r="L56" s="78"/>
    </row>
    <row r="57" spans="1:12">
      <c r="A57" s="61"/>
      <c r="B57" s="45"/>
      <c r="D57" s="63" t="s">
        <v>353</v>
      </c>
      <c r="E57" s="79"/>
      <c r="F57" s="426">
        <v>2</v>
      </c>
      <c r="G57" s="80"/>
      <c r="H57" s="45"/>
      <c r="I57" s="45"/>
      <c r="L57" s="78"/>
    </row>
    <row r="58" spans="1:12">
      <c r="A58" s="61"/>
      <c r="D58" s="63" t="s">
        <v>354</v>
      </c>
      <c r="E58" s="79"/>
      <c r="F58" s="426">
        <v>2</v>
      </c>
      <c r="G58" s="80"/>
      <c r="H58" s="45"/>
      <c r="I58" s="45"/>
      <c r="L58" s="78"/>
    </row>
    <row r="59" spans="1:12">
      <c r="A59" s="61"/>
      <c r="D59" s="63" t="s">
        <v>516</v>
      </c>
      <c r="E59" s="79"/>
      <c r="F59" s="426">
        <v>1</v>
      </c>
      <c r="G59" s="80"/>
      <c r="H59" s="45"/>
      <c r="I59" s="45"/>
      <c r="L59" s="78"/>
    </row>
    <row r="60" spans="1:12">
      <c r="A60" s="61"/>
      <c r="D60" s="63" t="s">
        <v>517</v>
      </c>
      <c r="E60" s="79"/>
      <c r="F60" s="426">
        <v>1</v>
      </c>
      <c r="G60" s="80"/>
      <c r="H60" s="45"/>
      <c r="I60" s="45"/>
      <c r="L60" s="78"/>
    </row>
    <row r="61" spans="1:12">
      <c r="A61" s="61"/>
      <c r="D61" s="87" t="s">
        <v>312</v>
      </c>
      <c r="E61" s="79"/>
      <c r="F61" s="426"/>
      <c r="G61" s="80"/>
      <c r="H61" s="45"/>
      <c r="I61" s="45"/>
      <c r="L61" s="78"/>
    </row>
    <row r="62" spans="1:12">
      <c r="A62" s="61"/>
      <c r="D62" s="63" t="s">
        <v>534</v>
      </c>
      <c r="E62" s="79"/>
      <c r="F62" s="426">
        <v>1</v>
      </c>
      <c r="G62" s="80"/>
      <c r="H62" s="45"/>
      <c r="I62" s="45"/>
      <c r="L62" s="78"/>
    </row>
    <row r="63" spans="1:12">
      <c r="A63" s="61"/>
      <c r="D63" s="63" t="s">
        <v>638</v>
      </c>
      <c r="E63" s="79"/>
      <c r="F63" s="79">
        <v>1</v>
      </c>
      <c r="G63" s="80"/>
      <c r="H63" s="45"/>
      <c r="I63" s="45"/>
      <c r="L63" s="78"/>
    </row>
    <row r="64" spans="1:12">
      <c r="A64" s="61"/>
      <c r="C64" s="45"/>
      <c r="D64" s="89"/>
      <c r="E64" s="79"/>
      <c r="F64" s="79"/>
      <c r="G64" s="80"/>
      <c r="H64" s="45"/>
      <c r="I64" s="45"/>
      <c r="L64" s="78"/>
    </row>
    <row r="65" spans="1:12">
      <c r="A65" s="61"/>
      <c r="C65" s="45"/>
      <c r="D65" s="63"/>
      <c r="E65" s="79"/>
      <c r="F65" s="79"/>
      <c r="G65" s="79"/>
      <c r="H65" s="45"/>
      <c r="I65" s="45"/>
      <c r="L65" s="78"/>
    </row>
    <row r="66" spans="1:12">
      <c r="A66" s="61"/>
      <c r="D66" s="63"/>
      <c r="E66" s="79"/>
      <c r="F66" s="79"/>
      <c r="G66" s="79"/>
      <c r="L66" s="78"/>
    </row>
    <row r="67" spans="1:12">
      <c r="A67" s="61"/>
      <c r="D67" s="63"/>
      <c r="E67" s="79"/>
      <c r="F67" s="79"/>
      <c r="G67" s="79"/>
      <c r="L67" s="78"/>
    </row>
    <row r="68" spans="1:12">
      <c r="A68" s="61"/>
      <c r="D68" s="88"/>
      <c r="E68" s="99"/>
      <c r="F68" s="99"/>
      <c r="G68" s="99"/>
      <c r="L68" s="78"/>
    </row>
    <row r="69" spans="1:12">
      <c r="A69" s="61"/>
      <c r="D69" s="100"/>
      <c r="E69" s="79"/>
      <c r="F69" s="79"/>
      <c r="G69" s="79"/>
      <c r="H69" s="45"/>
      <c r="I69" s="45"/>
      <c r="L69" s="78"/>
    </row>
    <row r="70" spans="1:12">
      <c r="A70" s="61"/>
      <c r="D70" s="100"/>
      <c r="E70" s="79"/>
      <c r="F70" s="79"/>
      <c r="G70" s="79"/>
      <c r="H70" s="45"/>
      <c r="I70" s="45"/>
      <c r="L70" s="78"/>
    </row>
    <row r="71" spans="1:12">
      <c r="A71" s="61"/>
      <c r="D71" s="97"/>
      <c r="E71" s="97"/>
      <c r="F71" s="96"/>
      <c r="G71" s="96"/>
      <c r="H71" s="45"/>
      <c r="I71" s="45"/>
      <c r="L71" s="78"/>
    </row>
    <row r="72" spans="1:12">
      <c r="A72" s="101"/>
      <c r="B72" s="102"/>
      <c r="C72" s="103"/>
      <c r="D72" s="104" t="s">
        <v>39</v>
      </c>
      <c r="E72" s="105">
        <f>SUM(E9:E71)</f>
        <v>0</v>
      </c>
      <c r="F72" s="105">
        <f>SUM(F9:F71)</f>
        <v>138</v>
      </c>
      <c r="G72" s="105">
        <f>SUM(G9:G71)</f>
        <v>0</v>
      </c>
      <c r="H72" s="106"/>
      <c r="I72" s="106"/>
      <c r="J72" s="106"/>
      <c r="K72" s="106"/>
      <c r="L72" s="107"/>
    </row>
    <row r="73" spans="1:12">
      <c r="F73" s="45"/>
      <c r="G73" s="45"/>
      <c r="H73" s="45"/>
      <c r="I73" s="45"/>
    </row>
    <row r="74" spans="1:12">
      <c r="F74" s="45"/>
      <c r="G74" s="45"/>
      <c r="H74" s="45"/>
      <c r="I74" s="45"/>
    </row>
    <row r="75" spans="1:12">
      <c r="F75" s="45"/>
      <c r="G75" s="45"/>
      <c r="H75" s="45"/>
      <c r="I75" s="45"/>
    </row>
    <row r="76" spans="1:12">
      <c r="F76" s="45"/>
      <c r="G76" s="45"/>
      <c r="H76" s="45"/>
      <c r="I76" s="45"/>
    </row>
    <row r="77" spans="1:12">
      <c r="F77" s="45"/>
      <c r="G77" s="45"/>
      <c r="H77" s="45"/>
      <c r="I77" s="45"/>
    </row>
    <row r="78" spans="1:12">
      <c r="F78" s="45"/>
      <c r="G78" s="45"/>
      <c r="H78" s="45"/>
      <c r="I78" s="45"/>
    </row>
    <row r="79" spans="1:12">
      <c r="F79" s="45"/>
      <c r="G79" s="45"/>
      <c r="H79" s="45"/>
      <c r="I79" s="45"/>
    </row>
    <row r="80" spans="1:12">
      <c r="F80" s="45"/>
      <c r="G80" s="45"/>
      <c r="H80" s="45"/>
      <c r="I80" s="45"/>
    </row>
    <row r="81" spans="6:9">
      <c r="F81" s="45"/>
      <c r="G81" s="45"/>
      <c r="H81" s="45"/>
      <c r="I81" s="45"/>
    </row>
    <row r="82" spans="6:9">
      <c r="F82" s="45"/>
      <c r="G82" s="45"/>
      <c r="H82" s="45"/>
      <c r="I82" s="45"/>
    </row>
  </sheetData>
  <sortState xmlns:xlrd2="http://schemas.microsoft.com/office/spreadsheetml/2017/richdata2" ref="A74:A133">
    <sortCondition ref="A74"/>
  </sortState>
  <mergeCells count="15"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  <mergeCell ref="A36:B36"/>
    <mergeCell ref="A46:B46"/>
    <mergeCell ref="A50:B50"/>
    <mergeCell ref="I7:I8"/>
    <mergeCell ref="E7:G7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2"/>
  <sheetViews>
    <sheetView view="pageLayout" topLeftCell="A4" zoomScaleNormal="100" zoomScaleSheetLayoutView="100" workbookViewId="0">
      <selection activeCell="G8" sqref="G8"/>
    </sheetView>
  </sheetViews>
  <sheetFormatPr defaultColWidth="9" defaultRowHeight="17.25" customHeight="1"/>
  <cols>
    <col min="1" max="1" width="47.42578125" style="109" customWidth="1"/>
    <col min="2" max="2" width="20" style="110" customWidth="1"/>
    <col min="3" max="3" width="18.28515625" style="110" customWidth="1"/>
    <col min="4" max="4" width="17.85546875" style="110" customWidth="1"/>
    <col min="5" max="5" width="14.28515625" style="110" customWidth="1"/>
    <col min="6" max="6" width="18.7109375" style="110" customWidth="1"/>
    <col min="7" max="9" width="14.28515625" style="109" customWidth="1"/>
    <col min="10" max="10" width="16.85546875" style="109" customWidth="1"/>
    <col min="11" max="16383" width="9.140625" style="109"/>
    <col min="16384" max="16384" width="9" style="109"/>
  </cols>
  <sheetData>
    <row r="1" spans="1:10" s="108" customFormat="1" ht="17.25" customHeight="1">
      <c r="A1" s="638" t="s">
        <v>240</v>
      </c>
      <c r="B1" s="639"/>
      <c r="C1" s="639"/>
      <c r="D1" s="639"/>
      <c r="E1" s="639"/>
      <c r="F1" s="639"/>
      <c r="G1" s="639"/>
      <c r="H1" s="639"/>
      <c r="I1" s="639"/>
      <c r="J1" s="639"/>
    </row>
    <row r="2" spans="1:10" s="108" customFormat="1" ht="17.25" customHeight="1">
      <c r="A2" s="111"/>
      <c r="B2" s="112"/>
      <c r="C2" s="112"/>
      <c r="D2" s="112"/>
      <c r="E2" s="113"/>
      <c r="F2" s="113"/>
    </row>
    <row r="3" spans="1:10" s="108" customFormat="1" ht="17.25" customHeight="1">
      <c r="A3" s="114" t="s">
        <v>6</v>
      </c>
      <c r="B3" s="640" t="str">
        <f>Capa!D5</f>
        <v>HOSPITAL REGIONAL TEREZINHA GAIO BASSO</v>
      </c>
      <c r="C3" s="641"/>
      <c r="D3" s="641"/>
      <c r="E3" s="641"/>
      <c r="F3" s="113"/>
    </row>
    <row r="4" spans="1:10" s="108" customFormat="1" ht="17.25" customHeight="1">
      <c r="A4" s="114" t="s">
        <v>7</v>
      </c>
      <c r="B4" s="642">
        <v>45689</v>
      </c>
      <c r="C4" s="642"/>
      <c r="D4" s="115"/>
      <c r="E4" s="115"/>
      <c r="F4" s="113"/>
    </row>
    <row r="5" spans="1:10" s="108" customFormat="1" ht="17.25" customHeight="1">
      <c r="A5" s="114"/>
      <c r="B5" s="116"/>
      <c r="C5" s="116"/>
      <c r="D5" s="115"/>
      <c r="E5" s="115"/>
      <c r="F5" s="113"/>
    </row>
    <row r="6" spans="1:10" s="108" customFormat="1" ht="17.25" customHeight="1">
      <c r="A6" s="567" t="s">
        <v>241</v>
      </c>
      <c r="B6" s="572"/>
      <c r="C6" s="572"/>
      <c r="D6" s="572"/>
      <c r="E6" s="572"/>
      <c r="F6" s="568"/>
    </row>
    <row r="7" spans="1:10" s="108" customFormat="1" ht="57" customHeight="1">
      <c r="A7" s="643" t="s">
        <v>242</v>
      </c>
      <c r="B7" s="590"/>
      <c r="C7" s="644" t="s">
        <v>243</v>
      </c>
      <c r="D7" s="644"/>
      <c r="E7" s="644" t="s">
        <v>244</v>
      </c>
      <c r="F7" s="645"/>
    </row>
    <row r="8" spans="1:10" s="108" customFormat="1" ht="28.5" customHeight="1">
      <c r="A8" s="635" t="s">
        <v>245</v>
      </c>
      <c r="B8" s="636"/>
      <c r="C8" s="590">
        <v>3271</v>
      </c>
      <c r="D8" s="590"/>
      <c r="E8" s="590">
        <v>208</v>
      </c>
      <c r="F8" s="637"/>
    </row>
    <row r="9" spans="1:10" s="108" customFormat="1" ht="25.5" customHeight="1">
      <c r="A9" s="635" t="s">
        <v>246</v>
      </c>
      <c r="B9" s="636"/>
      <c r="C9" s="590">
        <v>715</v>
      </c>
      <c r="D9" s="590"/>
      <c r="E9" s="590">
        <v>150</v>
      </c>
      <c r="F9" s="637"/>
    </row>
    <row r="10" spans="1:10" s="108" customFormat="1" ht="30" customHeight="1">
      <c r="A10" s="635" t="s">
        <v>247</v>
      </c>
      <c r="B10" s="636"/>
      <c r="C10" s="590">
        <v>3971</v>
      </c>
      <c r="D10" s="590"/>
      <c r="E10" s="590">
        <v>316</v>
      </c>
      <c r="F10" s="637"/>
    </row>
    <row r="11" spans="1:10" s="108" customFormat="1" ht="17.25" customHeight="1">
      <c r="A11" s="635" t="s">
        <v>248</v>
      </c>
      <c r="B11" s="636"/>
      <c r="C11" s="590">
        <v>718</v>
      </c>
      <c r="D11" s="590"/>
      <c r="E11" s="590">
        <v>152</v>
      </c>
      <c r="F11" s="637"/>
    </row>
    <row r="12" spans="1:10" s="108" customFormat="1" ht="17.25" customHeight="1">
      <c r="A12" s="629" t="s">
        <v>14</v>
      </c>
      <c r="B12" s="630"/>
      <c r="C12" s="631">
        <f>SUM(C8:D11)</f>
        <v>8675</v>
      </c>
      <c r="D12" s="631"/>
      <c r="E12" s="631">
        <f>SUM(E8:F11)</f>
        <v>826</v>
      </c>
      <c r="F12" s="632"/>
    </row>
    <row r="13" spans="1:10" s="108" customFormat="1" ht="18" customHeight="1">
      <c r="A13" s="117"/>
      <c r="B13" s="118"/>
      <c r="C13" s="113"/>
      <c r="D13" s="119"/>
      <c r="E13" s="115"/>
      <c r="F13" s="113"/>
    </row>
    <row r="14" spans="1:10" ht="17.25" customHeight="1">
      <c r="A14" s="544" t="s">
        <v>249</v>
      </c>
      <c r="B14" s="545"/>
      <c r="C14" s="545"/>
      <c r="D14" s="545"/>
      <c r="E14" s="545"/>
      <c r="F14" s="545"/>
      <c r="G14" s="545"/>
      <c r="H14" s="545"/>
      <c r="I14" s="545"/>
      <c r="J14" s="545"/>
    </row>
    <row r="15" spans="1:10" ht="38.1" customHeight="1">
      <c r="A15" s="120" t="s">
        <v>250</v>
      </c>
      <c r="B15" s="121" t="s">
        <v>251</v>
      </c>
      <c r="C15" s="121" t="s">
        <v>252</v>
      </c>
      <c r="D15" s="121" t="s">
        <v>253</v>
      </c>
      <c r="E15" s="121" t="s">
        <v>254</v>
      </c>
      <c r="F15" s="121" t="s">
        <v>255</v>
      </c>
      <c r="G15" s="121" t="s">
        <v>256</v>
      </c>
      <c r="H15" s="121" t="s">
        <v>493</v>
      </c>
      <c r="I15" s="121" t="s">
        <v>257</v>
      </c>
      <c r="J15" s="130" t="s">
        <v>258</v>
      </c>
    </row>
    <row r="16" spans="1:10" ht="17.25" customHeight="1">
      <c r="A16" s="122" t="s">
        <v>259</v>
      </c>
      <c r="B16" s="123">
        <f>C8</f>
        <v>3271</v>
      </c>
      <c r="C16" s="124">
        <v>534</v>
      </c>
      <c r="D16" s="124">
        <v>1483</v>
      </c>
      <c r="E16" s="124">
        <v>45</v>
      </c>
      <c r="F16" s="124">
        <v>14</v>
      </c>
      <c r="G16" s="125">
        <f>SUM(C16:F16)</f>
        <v>2076</v>
      </c>
      <c r="H16" s="346">
        <f>(E8/C8)*100</f>
        <v>6.3589116478141232</v>
      </c>
      <c r="I16" s="126">
        <f>(C16+D16)/G16</f>
        <v>0.97157996146435455</v>
      </c>
      <c r="J16" s="131">
        <f>(E16+F16)/G16</f>
        <v>2.8420038535645471E-2</v>
      </c>
    </row>
    <row r="17" spans="1:10" ht="17.25" customHeight="1">
      <c r="A17" s="122" t="s">
        <v>260</v>
      </c>
      <c r="B17" s="123">
        <f>C9</f>
        <v>715</v>
      </c>
      <c r="C17" s="124">
        <v>367</v>
      </c>
      <c r="D17" s="124">
        <v>974</v>
      </c>
      <c r="E17" s="124">
        <v>8</v>
      </c>
      <c r="F17" s="124">
        <v>1</v>
      </c>
      <c r="G17" s="125">
        <f>SUM(C17:F17)</f>
        <v>1350</v>
      </c>
      <c r="H17" s="346">
        <f t="shared" ref="H17:H19" si="0">(E9/C9)*100</f>
        <v>20.97902097902098</v>
      </c>
      <c r="I17" s="126">
        <f>(C17+D17)/G17</f>
        <v>0.99333333333333329</v>
      </c>
      <c r="J17" s="131">
        <f>(E17+F17)/G17</f>
        <v>6.6666666666666671E-3</v>
      </c>
    </row>
    <row r="18" spans="1:10" ht="17.25" customHeight="1">
      <c r="A18" s="122" t="s">
        <v>261</v>
      </c>
      <c r="B18" s="123">
        <f>C10</f>
        <v>3971</v>
      </c>
      <c r="C18" s="124">
        <v>596</v>
      </c>
      <c r="D18" s="124">
        <v>2212</v>
      </c>
      <c r="E18" s="124">
        <v>30</v>
      </c>
      <c r="F18" s="124">
        <v>6</v>
      </c>
      <c r="G18" s="125">
        <f>SUM(C18:F18)</f>
        <v>2844</v>
      </c>
      <c r="H18" s="346">
        <f t="shared" si="0"/>
        <v>7.9576932762528338</v>
      </c>
      <c r="I18" s="126">
        <f>(C18+D18)/G18</f>
        <v>0.98734177215189878</v>
      </c>
      <c r="J18" s="131">
        <f>(E18+F18)/G18</f>
        <v>1.2658227848101266E-2</v>
      </c>
    </row>
    <row r="19" spans="1:10" ht="17.25" customHeight="1">
      <c r="A19" s="122" t="s">
        <v>262</v>
      </c>
      <c r="B19" s="123">
        <f>C11</f>
        <v>718</v>
      </c>
      <c r="C19" s="124">
        <v>409</v>
      </c>
      <c r="D19" s="124">
        <v>957</v>
      </c>
      <c r="E19" s="124">
        <v>2</v>
      </c>
      <c r="F19" s="124">
        <v>0</v>
      </c>
      <c r="G19" s="125">
        <f>SUM(C19:F19)</f>
        <v>1368</v>
      </c>
      <c r="H19" s="346">
        <f t="shared" si="0"/>
        <v>21.16991643454039</v>
      </c>
      <c r="I19" s="126">
        <f>(C19+D19)/G19</f>
        <v>0.99853801169590639</v>
      </c>
      <c r="J19" s="131">
        <f>(E19+F19)/G19</f>
        <v>1.4619883040935672E-3</v>
      </c>
    </row>
    <row r="20" spans="1:10" ht="17.25" customHeight="1" thickBot="1">
      <c r="A20" s="127" t="s">
        <v>263</v>
      </c>
      <c r="B20" s="128">
        <f>SUM(B16+B18+B17+B19)</f>
        <v>8675</v>
      </c>
      <c r="C20" s="128">
        <f>SUM(C16+C18+C17+C19)</f>
        <v>1906</v>
      </c>
      <c r="D20" s="128">
        <f>SUM(D16+D18+D17+D19)</f>
        <v>5626</v>
      </c>
      <c r="E20" s="128">
        <f>SUM(E16+E18+E17+E19)</f>
        <v>85</v>
      </c>
      <c r="F20" s="128">
        <f>SUM(F16+F18+F17+F19)</f>
        <v>21</v>
      </c>
      <c r="G20" s="128">
        <f>SUM(G16:G19)</f>
        <v>7638</v>
      </c>
      <c r="H20" s="431">
        <f>(E12/C12)*100</f>
        <v>9.521613832853026</v>
      </c>
      <c r="I20" s="129">
        <f>(C20+D20)/G20</f>
        <v>0.98612202147158945</v>
      </c>
      <c r="J20" s="132">
        <f>(E20+F20)/G20</f>
        <v>1.3877978528410578E-2</v>
      </c>
    </row>
    <row r="21" spans="1:10" ht="17.25" customHeight="1">
      <c r="A21" s="633" t="s">
        <v>264</v>
      </c>
      <c r="B21" s="634"/>
      <c r="C21" s="634"/>
      <c r="D21" s="634"/>
      <c r="E21" s="634"/>
      <c r="F21" s="634"/>
      <c r="G21" s="634"/>
      <c r="H21" s="634"/>
      <c r="I21" s="634"/>
      <c r="J21" s="634"/>
    </row>
    <row r="22" spans="1:10" ht="17.25" customHeight="1">
      <c r="A22" s="634"/>
      <c r="B22" s="634"/>
      <c r="C22" s="634"/>
      <c r="D22" s="634"/>
      <c r="E22" s="634"/>
      <c r="F22" s="634"/>
      <c r="G22" s="634"/>
      <c r="H22" s="634"/>
      <c r="I22" s="634"/>
      <c r="J22" s="634"/>
    </row>
  </sheetData>
  <mergeCells count="24">
    <mergeCell ref="A1:J1"/>
    <mergeCell ref="B3:E3"/>
    <mergeCell ref="B4:C4"/>
    <mergeCell ref="A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4:J14"/>
    <mergeCell ref="A21:J22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showGridLines="0" view="pageLayout" zoomScale="70" zoomScaleNormal="100" zoomScaleSheetLayoutView="100" zoomScalePageLayoutView="70" workbookViewId="0">
      <selection activeCell="B21" sqref="B21"/>
    </sheetView>
  </sheetViews>
  <sheetFormatPr defaultColWidth="4.28515625" defaultRowHeight="12.75"/>
  <cols>
    <col min="1" max="1" width="56.42578125" style="31" customWidth="1"/>
    <col min="2" max="2" width="21.28515625" style="31" customWidth="1"/>
    <col min="3" max="3" width="7.42578125" style="32" customWidth="1"/>
    <col min="4" max="4" width="51.85546875" style="32" customWidth="1"/>
    <col min="5" max="5" width="18" style="32" customWidth="1"/>
    <col min="6" max="6" width="31" style="32" customWidth="1"/>
    <col min="7" max="7" width="17" style="32" customWidth="1"/>
    <col min="8" max="16384" width="4.28515625" style="32"/>
  </cols>
  <sheetData>
    <row r="1" spans="1:7" ht="18.600000000000001" customHeight="1">
      <c r="A1" s="652" t="s">
        <v>355</v>
      </c>
      <c r="B1" s="653"/>
      <c r="C1" s="653"/>
      <c r="D1" s="653"/>
      <c r="E1" s="653"/>
      <c r="F1" s="653"/>
      <c r="G1" s="654"/>
    </row>
    <row r="2" spans="1:7" ht="18.600000000000001" customHeight="1">
      <c r="A2" s="33"/>
      <c r="G2" s="34"/>
    </row>
    <row r="3" spans="1:7" ht="18.600000000000001" customHeight="1">
      <c r="A3" s="35" t="s">
        <v>6</v>
      </c>
      <c r="B3" s="36" t="str">
        <f>Capa!D5</f>
        <v>HOSPITAL REGIONAL TEREZINHA GAIO BASSO</v>
      </c>
      <c r="C3" s="37"/>
      <c r="D3" s="37"/>
      <c r="E3" s="38"/>
      <c r="F3" s="39"/>
      <c r="G3" s="34"/>
    </row>
    <row r="4" spans="1:7" ht="18.600000000000001" customHeight="1">
      <c r="A4" s="35" t="s">
        <v>7</v>
      </c>
      <c r="B4" s="40">
        <f>Assistencial!B4</f>
        <v>45717</v>
      </c>
      <c r="D4" s="31"/>
      <c r="E4" s="38"/>
      <c r="F4" s="38"/>
      <c r="G4" s="34"/>
    </row>
    <row r="5" spans="1:7" ht="18.600000000000001" customHeight="1">
      <c r="A5" s="33"/>
      <c r="D5" s="655" t="s">
        <v>356</v>
      </c>
      <c r="E5" s="655"/>
      <c r="F5" s="655"/>
      <c r="G5" s="41"/>
    </row>
    <row r="6" spans="1:7" ht="18.600000000000001" customHeight="1">
      <c r="A6" s="656" t="s">
        <v>357</v>
      </c>
      <c r="B6" s="657"/>
      <c r="D6" s="658" t="s">
        <v>358</v>
      </c>
      <c r="E6" s="659"/>
      <c r="F6" s="659"/>
      <c r="G6" s="660"/>
    </row>
    <row r="7" spans="1:7" ht="18.600000000000001" customHeight="1">
      <c r="A7" s="18"/>
      <c r="B7" s="20" t="s">
        <v>359</v>
      </c>
      <c r="D7" s="42" t="s">
        <v>360</v>
      </c>
      <c r="E7" s="22" t="s">
        <v>361</v>
      </c>
      <c r="F7" s="22" t="s">
        <v>362</v>
      </c>
      <c r="G7" s="23" t="s">
        <v>363</v>
      </c>
    </row>
    <row r="8" spans="1:7" ht="18.600000000000001" customHeight="1">
      <c r="A8" s="18" t="s">
        <v>364</v>
      </c>
      <c r="B8" s="24">
        <v>9083.31</v>
      </c>
      <c r="D8" s="354" t="s">
        <v>554</v>
      </c>
      <c r="E8" s="358" t="s">
        <v>57</v>
      </c>
      <c r="F8" s="358" t="s">
        <v>57</v>
      </c>
      <c r="G8" s="359" t="s">
        <v>57</v>
      </c>
    </row>
    <row r="9" spans="1:7" ht="18.600000000000001" customHeight="1">
      <c r="A9" s="25" t="s">
        <v>365</v>
      </c>
      <c r="B9" s="26">
        <v>493512.06</v>
      </c>
      <c r="D9" s="354" t="s">
        <v>555</v>
      </c>
      <c r="E9" s="358" t="s">
        <v>602</v>
      </c>
      <c r="F9" s="358" t="s">
        <v>603</v>
      </c>
      <c r="G9" s="359">
        <v>1837.73</v>
      </c>
    </row>
    <row r="10" spans="1:7" ht="15">
      <c r="A10" s="18"/>
      <c r="B10" s="8"/>
      <c r="D10" s="354" t="s">
        <v>556</v>
      </c>
      <c r="E10" s="358" t="s">
        <v>604</v>
      </c>
      <c r="F10" s="358" t="s">
        <v>605</v>
      </c>
      <c r="G10" s="359">
        <v>2.5</v>
      </c>
    </row>
    <row r="11" spans="1:7" ht="30" customHeight="1">
      <c r="A11" s="661" t="s">
        <v>366</v>
      </c>
      <c r="B11" s="662"/>
      <c r="D11" s="354" t="s">
        <v>557</v>
      </c>
      <c r="E11" s="358" t="s">
        <v>558</v>
      </c>
      <c r="F11" s="358" t="s">
        <v>519</v>
      </c>
      <c r="G11" s="359">
        <v>9.75</v>
      </c>
    </row>
    <row r="12" spans="1:7" ht="35.25" customHeight="1">
      <c r="A12" s="18"/>
      <c r="B12" s="20" t="s">
        <v>367</v>
      </c>
      <c r="D12" s="354" t="s">
        <v>559</v>
      </c>
      <c r="E12" s="358" t="s">
        <v>558</v>
      </c>
      <c r="F12" s="358" t="s">
        <v>560</v>
      </c>
      <c r="G12" s="359">
        <v>1.8</v>
      </c>
    </row>
    <row r="13" spans="1:7" ht="29.25" customHeight="1">
      <c r="A13" s="18" t="s">
        <v>368</v>
      </c>
      <c r="B13" s="27">
        <v>6</v>
      </c>
      <c r="D13" s="354" t="s">
        <v>561</v>
      </c>
      <c r="E13" s="358" t="s">
        <v>606</v>
      </c>
      <c r="F13" s="358" t="s">
        <v>519</v>
      </c>
      <c r="G13" s="359">
        <v>4.3</v>
      </c>
    </row>
    <row r="14" spans="1:7" ht="38.25" customHeight="1">
      <c r="A14" s="25" t="s">
        <v>369</v>
      </c>
      <c r="B14" s="58">
        <v>239</v>
      </c>
      <c r="D14" s="354" t="s">
        <v>562</v>
      </c>
      <c r="E14" s="358" t="s">
        <v>57</v>
      </c>
      <c r="F14" s="358" t="s">
        <v>57</v>
      </c>
      <c r="G14" s="359" t="s">
        <v>57</v>
      </c>
    </row>
    <row r="15" spans="1:7" ht="33" customHeight="1">
      <c r="A15" s="7"/>
      <c r="B15" s="29"/>
      <c r="D15" s="354" t="s">
        <v>563</v>
      </c>
      <c r="E15" s="358" t="s">
        <v>607</v>
      </c>
      <c r="F15" s="358" t="s">
        <v>608</v>
      </c>
      <c r="G15" s="359">
        <v>13.6</v>
      </c>
    </row>
    <row r="16" spans="1:7" ht="33.75" customHeight="1">
      <c r="A16" s="646" t="s">
        <v>370</v>
      </c>
      <c r="B16" s="647"/>
      <c r="D16" s="354" t="s">
        <v>564</v>
      </c>
      <c r="E16" s="358" t="s">
        <v>609</v>
      </c>
      <c r="F16" s="358" t="s">
        <v>522</v>
      </c>
      <c r="G16" s="359">
        <v>5.88</v>
      </c>
    </row>
    <row r="17" spans="1:7" ht="27" customHeight="1">
      <c r="A17" s="648" t="s">
        <v>371</v>
      </c>
      <c r="B17" s="649"/>
      <c r="D17" s="354" t="s">
        <v>565</v>
      </c>
      <c r="E17" s="358" t="s">
        <v>520</v>
      </c>
      <c r="F17" s="358" t="s">
        <v>610</v>
      </c>
      <c r="G17" s="359">
        <v>6.7</v>
      </c>
    </row>
    <row r="18" spans="1:7" ht="27" customHeight="1">
      <c r="A18" s="18"/>
      <c r="B18" s="20" t="s">
        <v>372</v>
      </c>
      <c r="D18" s="354" t="s">
        <v>566</v>
      </c>
      <c r="E18" s="358" t="s">
        <v>611</v>
      </c>
      <c r="F18" s="358" t="s">
        <v>612</v>
      </c>
      <c r="G18" s="359">
        <v>149</v>
      </c>
    </row>
    <row r="19" spans="1:7" ht="27" customHeight="1">
      <c r="A19" s="18" t="s">
        <v>373</v>
      </c>
      <c r="B19" s="27">
        <v>22</v>
      </c>
      <c r="D19" s="354" t="s">
        <v>567</v>
      </c>
      <c r="E19" s="358" t="s">
        <v>613</v>
      </c>
      <c r="F19" s="358" t="s">
        <v>521</v>
      </c>
      <c r="G19" s="359">
        <v>75.599999999999994</v>
      </c>
    </row>
    <row r="20" spans="1:7" ht="15">
      <c r="A20" s="25" t="s">
        <v>374</v>
      </c>
      <c r="B20" s="28">
        <v>294929</v>
      </c>
      <c r="D20" s="354" t="s">
        <v>568</v>
      </c>
      <c r="E20" s="358" t="s">
        <v>614</v>
      </c>
      <c r="F20" s="358" t="s">
        <v>521</v>
      </c>
      <c r="G20" s="359">
        <v>70.59</v>
      </c>
    </row>
    <row r="21" spans="1:7" ht="18.600000000000001" customHeight="1">
      <c r="A21" s="7"/>
      <c r="B21" s="29"/>
      <c r="D21" s="354" t="s">
        <v>569</v>
      </c>
      <c r="E21" s="358" t="s">
        <v>615</v>
      </c>
      <c r="F21" s="358" t="s">
        <v>521</v>
      </c>
      <c r="G21" s="359">
        <v>70.2</v>
      </c>
    </row>
    <row r="22" spans="1:7" ht="18.600000000000001" customHeight="1">
      <c r="A22" s="7"/>
      <c r="B22" s="8"/>
      <c r="D22" s="354" t="s">
        <v>570</v>
      </c>
      <c r="E22" s="358" t="s">
        <v>616</v>
      </c>
      <c r="F22" s="358" t="s">
        <v>521</v>
      </c>
      <c r="G22" s="359">
        <v>64.17</v>
      </c>
    </row>
    <row r="23" spans="1:7" ht="18.600000000000001" customHeight="1">
      <c r="A23" s="18"/>
      <c r="B23" s="8"/>
      <c r="D23" s="354" t="s">
        <v>571</v>
      </c>
      <c r="E23" s="358" t="s">
        <v>617</v>
      </c>
      <c r="F23" s="358" t="s">
        <v>618</v>
      </c>
      <c r="G23" s="359">
        <v>315.60000000000002</v>
      </c>
    </row>
    <row r="24" spans="1:7" ht="28.5" customHeight="1">
      <c r="A24" s="650"/>
      <c r="B24" s="650"/>
      <c r="D24" s="354" t="s">
        <v>572</v>
      </c>
      <c r="E24" s="358" t="s">
        <v>619</v>
      </c>
      <c r="F24" s="358" t="s">
        <v>618</v>
      </c>
      <c r="G24" s="359">
        <v>231</v>
      </c>
    </row>
    <row r="25" spans="1:7" ht="18.600000000000001" customHeight="1">
      <c r="A25" s="7"/>
      <c r="B25" s="8"/>
      <c r="D25" s="354" t="s">
        <v>573</v>
      </c>
      <c r="E25" s="358" t="s">
        <v>520</v>
      </c>
      <c r="F25" s="358" t="s">
        <v>620</v>
      </c>
      <c r="G25" s="359">
        <v>0.54</v>
      </c>
    </row>
    <row r="26" spans="1:7" ht="33" customHeight="1">
      <c r="A26" s="7"/>
      <c r="B26" s="29"/>
      <c r="D26" s="354" t="s">
        <v>574</v>
      </c>
      <c r="E26" s="358" t="s">
        <v>621</v>
      </c>
      <c r="F26" s="358" t="s">
        <v>608</v>
      </c>
      <c r="G26" s="359">
        <v>10.199999999999999</v>
      </c>
    </row>
    <row r="27" spans="1:7" ht="27.75" customHeight="1">
      <c r="A27" s="7"/>
      <c r="B27" s="29"/>
      <c r="D27" s="354" t="s">
        <v>575</v>
      </c>
      <c r="E27" s="358" t="s">
        <v>621</v>
      </c>
      <c r="F27" s="358" t="s">
        <v>608</v>
      </c>
      <c r="G27" s="359">
        <v>17</v>
      </c>
    </row>
    <row r="28" spans="1:7" ht="28.5" customHeight="1">
      <c r="A28" s="7"/>
      <c r="B28" s="8"/>
      <c r="D28" s="354" t="s">
        <v>576</v>
      </c>
      <c r="E28" s="358" t="s">
        <v>622</v>
      </c>
      <c r="F28" s="358" t="s">
        <v>608</v>
      </c>
      <c r="G28" s="359">
        <v>3</v>
      </c>
    </row>
    <row r="29" spans="1:7" ht="32.25" customHeight="1">
      <c r="A29" s="7"/>
      <c r="B29" s="8"/>
      <c r="D29" s="354" t="s">
        <v>578</v>
      </c>
      <c r="E29" s="358" t="s">
        <v>623</v>
      </c>
      <c r="F29" s="358" t="s">
        <v>522</v>
      </c>
      <c r="G29" s="359">
        <v>40</v>
      </c>
    </row>
    <row r="30" spans="1:7" ht="16.5" customHeight="1">
      <c r="A30" s="651"/>
      <c r="B30" s="651"/>
      <c r="D30" s="354" t="s">
        <v>579</v>
      </c>
      <c r="E30" s="358" t="s">
        <v>624</v>
      </c>
      <c r="F30" s="358" t="s">
        <v>625</v>
      </c>
      <c r="G30" s="359">
        <v>131.91</v>
      </c>
    </row>
    <row r="31" spans="1:7" ht="30.75" customHeight="1">
      <c r="A31" s="7"/>
      <c r="B31" s="8"/>
      <c r="D31" s="354" t="s">
        <v>580</v>
      </c>
      <c r="E31" s="358" t="s">
        <v>626</v>
      </c>
      <c r="F31" s="358" t="s">
        <v>608</v>
      </c>
      <c r="G31" s="359">
        <v>56.53</v>
      </c>
    </row>
    <row r="32" spans="1:7" ht="26.25" customHeight="1">
      <c r="A32" s="7"/>
      <c r="B32" s="29"/>
      <c r="D32" s="354" t="s">
        <v>581</v>
      </c>
      <c r="E32" s="358" t="s">
        <v>627</v>
      </c>
      <c r="F32" s="358" t="s">
        <v>608</v>
      </c>
      <c r="G32" s="359">
        <v>4.88</v>
      </c>
    </row>
    <row r="33" spans="1:7" ht="29.25" customHeight="1">
      <c r="A33" s="7"/>
      <c r="B33" s="29"/>
      <c r="D33" s="354" t="s">
        <v>582</v>
      </c>
      <c r="E33" s="358" t="s">
        <v>558</v>
      </c>
      <c r="F33" s="358" t="s">
        <v>522</v>
      </c>
      <c r="G33" s="359">
        <v>34</v>
      </c>
    </row>
    <row r="34" spans="1:7" ht="28.5" customHeight="1">
      <c r="A34" s="7"/>
      <c r="B34" s="8"/>
      <c r="D34" s="354" t="s">
        <v>583</v>
      </c>
      <c r="E34" s="358" t="s">
        <v>558</v>
      </c>
      <c r="F34" s="358" t="s">
        <v>522</v>
      </c>
      <c r="G34" s="359">
        <v>102.4</v>
      </c>
    </row>
    <row r="35" spans="1:7" ht="36" customHeight="1">
      <c r="A35" s="7"/>
      <c r="B35" s="8"/>
      <c r="D35" s="354" t="s">
        <v>584</v>
      </c>
      <c r="E35" s="358" t="s">
        <v>585</v>
      </c>
      <c r="F35" s="358" t="s">
        <v>586</v>
      </c>
      <c r="G35" s="359">
        <v>498</v>
      </c>
    </row>
    <row r="36" spans="1:7" ht="17.100000000000001" customHeight="1">
      <c r="A36" s="651"/>
      <c r="B36" s="651"/>
      <c r="D36" s="354" t="s">
        <v>587</v>
      </c>
      <c r="E36" s="358" t="s">
        <v>520</v>
      </c>
      <c r="F36" s="358" t="s">
        <v>523</v>
      </c>
      <c r="G36" s="359">
        <v>13.6</v>
      </c>
    </row>
    <row r="37" spans="1:7" ht="15">
      <c r="A37" s="7"/>
      <c r="B37" s="8"/>
      <c r="D37" s="354" t="s">
        <v>588</v>
      </c>
      <c r="E37" s="358" t="s">
        <v>57</v>
      </c>
      <c r="F37" s="358" t="s">
        <v>57</v>
      </c>
      <c r="G37" s="359" t="s">
        <v>57</v>
      </c>
    </row>
    <row r="38" spans="1:7" ht="15">
      <c r="A38" s="7"/>
      <c r="B38" s="29"/>
      <c r="D38" s="354" t="s">
        <v>589</v>
      </c>
      <c r="E38" s="358" t="s">
        <v>558</v>
      </c>
      <c r="F38" s="358" t="s">
        <v>577</v>
      </c>
      <c r="G38" s="359">
        <v>1.17</v>
      </c>
    </row>
    <row r="39" spans="1:7" ht="15">
      <c r="A39" s="43"/>
      <c r="B39" s="43"/>
      <c r="C39" s="44"/>
      <c r="D39" s="354" t="s">
        <v>590</v>
      </c>
      <c r="E39" s="358" t="s">
        <v>57</v>
      </c>
      <c r="F39" s="358" t="s">
        <v>57</v>
      </c>
      <c r="G39" s="359" t="s">
        <v>57</v>
      </c>
    </row>
    <row r="40" spans="1:7" ht="15">
      <c r="D40" s="354" t="s">
        <v>591</v>
      </c>
      <c r="E40" s="358" t="s">
        <v>592</v>
      </c>
      <c r="F40" s="359" t="s">
        <v>593</v>
      </c>
      <c r="G40" s="359">
        <v>7.29</v>
      </c>
    </row>
    <row r="41" spans="1:7" ht="15">
      <c r="D41" s="354" t="s">
        <v>594</v>
      </c>
      <c r="E41" s="358" t="s">
        <v>520</v>
      </c>
      <c r="F41" s="359" t="s">
        <v>595</v>
      </c>
      <c r="G41" s="359">
        <v>55.97</v>
      </c>
    </row>
    <row r="42" spans="1:7" ht="15">
      <c r="D42" s="354" t="s">
        <v>596</v>
      </c>
      <c r="E42" s="358" t="s">
        <v>520</v>
      </c>
      <c r="F42" s="358" t="s">
        <v>595</v>
      </c>
      <c r="G42" s="359">
        <v>85</v>
      </c>
    </row>
    <row r="43" spans="1:7" ht="15">
      <c r="D43" s="354" t="s">
        <v>597</v>
      </c>
      <c r="E43" s="358" t="s">
        <v>520</v>
      </c>
      <c r="F43" s="358" t="s">
        <v>628</v>
      </c>
      <c r="G43" s="359">
        <v>16.89</v>
      </c>
    </row>
    <row r="44" spans="1:7" ht="15">
      <c r="D44" s="354" t="s">
        <v>524</v>
      </c>
      <c r="E44" s="358" t="s">
        <v>629</v>
      </c>
      <c r="F44" s="358" t="s">
        <v>630</v>
      </c>
      <c r="G44" s="359">
        <v>7.6</v>
      </c>
    </row>
    <row r="45" spans="1:7" ht="15">
      <c r="D45" s="354" t="s">
        <v>508</v>
      </c>
      <c r="E45" s="358" t="s">
        <v>631</v>
      </c>
      <c r="F45" s="358" t="s">
        <v>608</v>
      </c>
      <c r="G45" s="359">
        <v>8.1999999999999993</v>
      </c>
    </row>
    <row r="46" spans="1:7" ht="15">
      <c r="D46" s="354" t="s">
        <v>509</v>
      </c>
      <c r="E46" s="414" t="s">
        <v>520</v>
      </c>
      <c r="F46" s="415" t="s">
        <v>593</v>
      </c>
      <c r="G46" s="359">
        <v>334.9</v>
      </c>
    </row>
    <row r="47" spans="1:7" ht="15">
      <c r="D47" s="416" t="s">
        <v>510</v>
      </c>
      <c r="E47" s="358" t="s">
        <v>520</v>
      </c>
      <c r="F47" s="358" t="s">
        <v>522</v>
      </c>
      <c r="G47" s="359">
        <v>6.4</v>
      </c>
    </row>
    <row r="48" spans="1:7" ht="15">
      <c r="D48" s="416" t="s">
        <v>511</v>
      </c>
      <c r="E48" s="414" t="s">
        <v>520</v>
      </c>
      <c r="F48" s="415" t="s">
        <v>521</v>
      </c>
      <c r="G48" s="359">
        <v>2.85</v>
      </c>
    </row>
    <row r="49" spans="4:7" ht="15">
      <c r="D49" s="416" t="s">
        <v>512</v>
      </c>
      <c r="E49" s="414" t="s">
        <v>520</v>
      </c>
      <c r="F49" s="358" t="s">
        <v>598</v>
      </c>
      <c r="G49" s="359">
        <v>3.34</v>
      </c>
    </row>
    <row r="50" spans="4:7" ht="15">
      <c r="D50" s="416" t="s">
        <v>513</v>
      </c>
      <c r="E50" s="414" t="s">
        <v>520</v>
      </c>
      <c r="F50" s="358" t="s">
        <v>521</v>
      </c>
      <c r="G50" s="359">
        <v>4.3</v>
      </c>
    </row>
    <row r="51" spans="4:7" ht="15">
      <c r="D51" s="416" t="s">
        <v>514</v>
      </c>
      <c r="E51" s="414" t="s">
        <v>520</v>
      </c>
      <c r="F51" s="415" t="s">
        <v>521</v>
      </c>
      <c r="G51" s="417">
        <v>3.99</v>
      </c>
    </row>
    <row r="52" spans="4:7" ht="15">
      <c r="D52" s="416" t="s">
        <v>515</v>
      </c>
      <c r="E52" s="414" t="s">
        <v>520</v>
      </c>
      <c r="F52" s="415" t="s">
        <v>521</v>
      </c>
      <c r="G52" s="417">
        <v>4.55</v>
      </c>
    </row>
    <row r="53" spans="4:7" ht="15">
      <c r="D53" s="354" t="s">
        <v>525</v>
      </c>
      <c r="E53" s="414" t="s">
        <v>520</v>
      </c>
      <c r="F53" s="358" t="s">
        <v>521</v>
      </c>
      <c r="G53" s="359">
        <v>4.58</v>
      </c>
    </row>
  </sheetData>
  <sheetProtection selectLockedCells="1"/>
  <mergeCells count="10">
    <mergeCell ref="A1:G1"/>
    <mergeCell ref="D5:F5"/>
    <mergeCell ref="A6:B6"/>
    <mergeCell ref="D6:G6"/>
    <mergeCell ref="A11:B11"/>
    <mergeCell ref="A16:B16"/>
    <mergeCell ref="A17:B17"/>
    <mergeCell ref="A24:B24"/>
    <mergeCell ref="A30:B30"/>
    <mergeCell ref="A36:B36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8"/>
  <sheetViews>
    <sheetView showGridLines="0" view="pageLayout" topLeftCell="A31" zoomScale="70" zoomScaleNormal="90" zoomScaleSheetLayoutView="90" zoomScalePageLayoutView="70" workbookViewId="0">
      <selection activeCell="B22" sqref="B22"/>
    </sheetView>
  </sheetViews>
  <sheetFormatPr defaultColWidth="0.85546875" defaultRowHeight="22.5" customHeight="1"/>
  <cols>
    <col min="1" max="1" width="57.140625" style="7" customWidth="1"/>
    <col min="2" max="2" width="27" style="8" customWidth="1"/>
    <col min="3" max="3" width="8" style="9" customWidth="1"/>
    <col min="4" max="4" width="76.140625" style="9" customWidth="1"/>
    <col min="5" max="5" width="33" style="9" customWidth="1"/>
    <col min="6" max="6" width="17.5703125" style="9" customWidth="1"/>
    <col min="7" max="8" width="15" style="9" customWidth="1"/>
    <col min="9" max="16384" width="0.85546875" style="9"/>
  </cols>
  <sheetData>
    <row r="1" spans="1:6" ht="22.5" customHeight="1">
      <c r="A1" s="663" t="s">
        <v>375</v>
      </c>
      <c r="B1" s="664"/>
      <c r="C1" s="664"/>
      <c r="D1" s="664"/>
      <c r="E1" s="664"/>
      <c r="F1" s="665"/>
    </row>
    <row r="2" spans="1:6" ht="22.5" customHeight="1">
      <c r="A2" s="10"/>
      <c r="B2" s="11"/>
      <c r="F2" s="12"/>
    </row>
    <row r="3" spans="1:6" ht="22.5" customHeight="1">
      <c r="A3" s="13" t="s">
        <v>6</v>
      </c>
      <c r="B3" s="666" t="str">
        <f>Assistencial!B3</f>
        <v>HOSPITAL REGIONAL TEREZINHA GAIO BASSO</v>
      </c>
      <c r="C3" s="666"/>
      <c r="D3" s="666"/>
      <c r="E3" s="14"/>
      <c r="F3" s="12"/>
    </row>
    <row r="4" spans="1:6" ht="22.5" customHeight="1">
      <c r="A4" s="13" t="s">
        <v>7</v>
      </c>
      <c r="B4" s="15">
        <v>45689</v>
      </c>
      <c r="C4" s="16"/>
      <c r="D4" s="17"/>
      <c r="E4" s="17"/>
      <c r="F4" s="12"/>
    </row>
    <row r="5" spans="1:6" ht="22.5" customHeight="1">
      <c r="A5" s="18"/>
      <c r="D5" s="19" t="s">
        <v>376</v>
      </c>
      <c r="F5" s="12"/>
    </row>
    <row r="6" spans="1:6" ht="22.5" customHeight="1">
      <c r="A6" s="656" t="s">
        <v>377</v>
      </c>
      <c r="B6" s="657"/>
      <c r="D6" s="658" t="s">
        <v>378</v>
      </c>
      <c r="E6" s="659"/>
      <c r="F6" s="660"/>
    </row>
    <row r="7" spans="1:6" ht="22.5" customHeight="1">
      <c r="A7" s="18"/>
      <c r="B7" s="20" t="s">
        <v>359</v>
      </c>
      <c r="D7" s="21" t="s">
        <v>379</v>
      </c>
      <c r="E7" s="22" t="s">
        <v>380</v>
      </c>
      <c r="F7" s="23" t="s">
        <v>363</v>
      </c>
    </row>
    <row r="8" spans="1:6" ht="27.75" customHeight="1">
      <c r="A8" s="18" t="s">
        <v>381</v>
      </c>
      <c r="B8" s="24">
        <v>33</v>
      </c>
      <c r="D8" s="354" t="s">
        <v>536</v>
      </c>
      <c r="E8" s="364" t="s">
        <v>632</v>
      </c>
      <c r="F8" s="365">
        <v>31.5</v>
      </c>
    </row>
    <row r="9" spans="1:6" ht="31.5" customHeight="1">
      <c r="A9" s="25" t="s">
        <v>382</v>
      </c>
      <c r="B9" s="26">
        <v>218619.07</v>
      </c>
      <c r="D9" s="354" t="s">
        <v>537</v>
      </c>
      <c r="E9" s="364" t="s">
        <v>632</v>
      </c>
      <c r="F9" s="365">
        <v>49.44</v>
      </c>
    </row>
    <row r="10" spans="1:6" ht="22.5" customHeight="1">
      <c r="A10" s="18"/>
      <c r="D10" s="354" t="s">
        <v>538</v>
      </c>
      <c r="E10" s="364" t="s">
        <v>632</v>
      </c>
      <c r="F10" s="365">
        <v>87</v>
      </c>
    </row>
    <row r="11" spans="1:6" ht="36" customHeight="1">
      <c r="A11" s="646" t="s">
        <v>383</v>
      </c>
      <c r="B11" s="647"/>
      <c r="D11" s="354" t="s">
        <v>539</v>
      </c>
      <c r="E11" s="364" t="s">
        <v>526</v>
      </c>
      <c r="F11" s="365">
        <v>115</v>
      </c>
    </row>
    <row r="12" spans="1:6" ht="42" customHeight="1">
      <c r="A12" s="648" t="s">
        <v>384</v>
      </c>
      <c r="B12" s="649"/>
      <c r="D12" s="354" t="s">
        <v>540</v>
      </c>
      <c r="E12" s="364" t="s">
        <v>529</v>
      </c>
      <c r="F12" s="365">
        <v>134.97999999999999</v>
      </c>
    </row>
    <row r="13" spans="1:6" ht="32.25" customHeight="1">
      <c r="A13" s="18"/>
      <c r="B13" s="20" t="s">
        <v>385</v>
      </c>
      <c r="D13" s="354" t="s">
        <v>541</v>
      </c>
      <c r="E13" s="364" t="s">
        <v>633</v>
      </c>
      <c r="F13" s="365">
        <v>9.98</v>
      </c>
    </row>
    <row r="14" spans="1:6" ht="61.5" customHeight="1">
      <c r="A14" s="18" t="s">
        <v>386</v>
      </c>
      <c r="B14" s="27">
        <v>278</v>
      </c>
      <c r="D14" s="354" t="s">
        <v>542</v>
      </c>
      <c r="E14" s="364" t="s">
        <v>57</v>
      </c>
      <c r="F14" s="365" t="s">
        <v>57</v>
      </c>
    </row>
    <row r="15" spans="1:6" ht="33.75" customHeight="1">
      <c r="A15" s="25" t="s">
        <v>387</v>
      </c>
      <c r="B15" s="28">
        <v>146181</v>
      </c>
      <c r="D15" s="354" t="s">
        <v>543</v>
      </c>
      <c r="E15" s="364" t="s">
        <v>634</v>
      </c>
      <c r="F15" s="365">
        <v>53.9</v>
      </c>
    </row>
    <row r="16" spans="1:6" ht="32.25" customHeight="1">
      <c r="A16" s="18"/>
      <c r="D16" s="354" t="s">
        <v>544</v>
      </c>
      <c r="E16" s="364" t="s">
        <v>635</v>
      </c>
      <c r="F16" s="365">
        <v>2.21</v>
      </c>
    </row>
    <row r="17" spans="1:6" ht="30" customHeight="1">
      <c r="A17" s="646" t="s">
        <v>388</v>
      </c>
      <c r="B17" s="647"/>
      <c r="D17" s="354" t="s">
        <v>545</v>
      </c>
      <c r="E17" s="364" t="s">
        <v>635</v>
      </c>
      <c r="F17" s="365">
        <v>2.21</v>
      </c>
    </row>
    <row r="18" spans="1:6" ht="28.5" customHeight="1">
      <c r="A18" s="648" t="s">
        <v>384</v>
      </c>
      <c r="B18" s="649"/>
      <c r="D18" s="354" t="s">
        <v>546</v>
      </c>
      <c r="E18" s="364" t="s">
        <v>632</v>
      </c>
      <c r="F18" s="365">
        <v>890</v>
      </c>
    </row>
    <row r="19" spans="1:6" ht="33" customHeight="1">
      <c r="A19" s="18"/>
      <c r="B19" s="20" t="s">
        <v>389</v>
      </c>
      <c r="D19" s="354" t="s">
        <v>547</v>
      </c>
      <c r="E19" s="364" t="s">
        <v>57</v>
      </c>
      <c r="F19" s="365" t="s">
        <v>57</v>
      </c>
    </row>
    <row r="20" spans="1:6" ht="36.75" customHeight="1">
      <c r="A20" s="18" t="s">
        <v>390</v>
      </c>
      <c r="B20" s="27">
        <v>1</v>
      </c>
      <c r="D20" s="354" t="s">
        <v>548</v>
      </c>
      <c r="E20" s="364" t="s">
        <v>57</v>
      </c>
      <c r="F20" s="365" t="s">
        <v>57</v>
      </c>
    </row>
    <row r="21" spans="1:6" ht="36" customHeight="1">
      <c r="A21" s="25" t="s">
        <v>391</v>
      </c>
      <c r="B21" s="28">
        <v>227</v>
      </c>
      <c r="D21" s="354" t="s">
        <v>549</v>
      </c>
      <c r="E21" s="364" t="s">
        <v>636</v>
      </c>
      <c r="F21" s="365">
        <v>0.35</v>
      </c>
    </row>
    <row r="22" spans="1:6" ht="22.5" customHeight="1">
      <c r="D22" s="354" t="s">
        <v>550</v>
      </c>
      <c r="E22" s="364" t="s">
        <v>526</v>
      </c>
      <c r="F22" s="365">
        <v>22</v>
      </c>
    </row>
    <row r="23" spans="1:6" ht="22.5" customHeight="1">
      <c r="B23" s="29"/>
      <c r="D23" s="354" t="s">
        <v>551</v>
      </c>
      <c r="E23" s="364" t="s">
        <v>526</v>
      </c>
      <c r="F23" s="366">
        <v>22</v>
      </c>
    </row>
    <row r="24" spans="1:6" ht="22.5" customHeight="1">
      <c r="D24" s="354" t="s">
        <v>495</v>
      </c>
      <c r="E24" s="364" t="s">
        <v>526</v>
      </c>
      <c r="F24" s="365">
        <v>21</v>
      </c>
    </row>
    <row r="25" spans="1:6" ht="22.5" customHeight="1">
      <c r="A25" s="30"/>
      <c r="B25" s="11"/>
      <c r="D25" s="354" t="s">
        <v>496</v>
      </c>
      <c r="E25" s="364" t="s">
        <v>531</v>
      </c>
      <c r="F25" s="365">
        <v>0.83</v>
      </c>
    </row>
    <row r="26" spans="1:6" ht="22.5" customHeight="1">
      <c r="A26" s="18"/>
      <c r="D26" s="354" t="s">
        <v>497</v>
      </c>
      <c r="E26" s="364" t="s">
        <v>57</v>
      </c>
      <c r="F26" s="365" t="s">
        <v>57</v>
      </c>
    </row>
    <row r="27" spans="1:6" ht="22.5" customHeight="1">
      <c r="A27" s="18"/>
      <c r="D27" s="354" t="s">
        <v>498</v>
      </c>
      <c r="E27" s="364" t="s">
        <v>528</v>
      </c>
      <c r="F27" s="365">
        <v>11.18</v>
      </c>
    </row>
    <row r="28" spans="1:6" ht="22.5" customHeight="1">
      <c r="A28" s="18"/>
      <c r="D28" s="354" t="s">
        <v>499</v>
      </c>
      <c r="E28" s="364" t="s">
        <v>528</v>
      </c>
      <c r="F28" s="365">
        <v>37.68</v>
      </c>
    </row>
    <row r="29" spans="1:6" ht="29.25" customHeight="1">
      <c r="D29" s="354" t="s">
        <v>500</v>
      </c>
      <c r="E29" s="364" t="s">
        <v>529</v>
      </c>
      <c r="F29" s="365">
        <v>2</v>
      </c>
    </row>
    <row r="30" spans="1:6" ht="22.5" customHeight="1">
      <c r="D30" s="354" t="s">
        <v>501</v>
      </c>
      <c r="E30" s="364" t="s">
        <v>529</v>
      </c>
      <c r="F30" s="365">
        <v>0.9</v>
      </c>
    </row>
    <row r="31" spans="1:6" ht="22.5" customHeight="1">
      <c r="D31" s="354" t="s">
        <v>502</v>
      </c>
      <c r="E31" s="364" t="s">
        <v>527</v>
      </c>
      <c r="F31" s="365">
        <v>129</v>
      </c>
    </row>
    <row r="32" spans="1:6" ht="22.5" customHeight="1">
      <c r="D32" s="354" t="s">
        <v>503</v>
      </c>
      <c r="E32" s="364" t="s">
        <v>531</v>
      </c>
      <c r="F32" s="365">
        <v>17.600000000000001</v>
      </c>
    </row>
    <row r="33" spans="4:6" ht="22.5" customHeight="1">
      <c r="D33" s="354" t="s">
        <v>530</v>
      </c>
      <c r="E33" s="364" t="s">
        <v>531</v>
      </c>
      <c r="F33" s="365">
        <v>19.489999999999998</v>
      </c>
    </row>
    <row r="34" spans="4:6" ht="22.5" customHeight="1">
      <c r="D34" s="354" t="s">
        <v>532</v>
      </c>
      <c r="E34" s="364" t="s">
        <v>531</v>
      </c>
      <c r="F34" s="365">
        <v>20</v>
      </c>
    </row>
    <row r="35" spans="4:6" ht="25.5" customHeight="1">
      <c r="D35" s="354" t="s">
        <v>504</v>
      </c>
      <c r="E35" s="364" t="s">
        <v>57</v>
      </c>
      <c r="F35" s="365" t="s">
        <v>57</v>
      </c>
    </row>
    <row r="36" spans="4:6" ht="22.5" customHeight="1">
      <c r="D36" s="354" t="s">
        <v>505</v>
      </c>
      <c r="E36" s="364" t="s">
        <v>552</v>
      </c>
      <c r="F36" s="365">
        <v>0.28999999999999998</v>
      </c>
    </row>
    <row r="37" spans="4:6" ht="22.5" customHeight="1">
      <c r="D37" s="354" t="s">
        <v>506</v>
      </c>
      <c r="E37" s="364" t="s">
        <v>553</v>
      </c>
      <c r="F37" s="365">
        <v>9.9</v>
      </c>
    </row>
    <row r="38" spans="4:6" ht="48.75" customHeight="1">
      <c r="D38" s="354" t="s">
        <v>507</v>
      </c>
      <c r="E38" s="367" t="s">
        <v>533</v>
      </c>
      <c r="F38" s="357">
        <v>0.38</v>
      </c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7"/>
  <sheetViews>
    <sheetView showGridLines="0" topLeftCell="A22" zoomScaleNormal="100" zoomScaleSheetLayoutView="100" zoomScalePageLayoutView="80" workbookViewId="0">
      <selection activeCell="A82" sqref="A82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 thickBot="1">
      <c r="A1" s="667" t="s">
        <v>392</v>
      </c>
      <c r="B1" s="668"/>
    </row>
    <row r="2" spans="1:2" ht="21.75" customHeight="1">
      <c r="A2" s="669" t="s">
        <v>393</v>
      </c>
      <c r="B2" s="669"/>
    </row>
    <row r="3" spans="1:2" ht="21.75" customHeight="1">
      <c r="A3" s="670" t="str">
        <f>Assistencial!B3</f>
        <v>HOSPITAL REGIONAL TEREZINHA GAIO BASSO</v>
      </c>
      <c r="B3" s="671"/>
    </row>
    <row r="4" spans="1:2" ht="21.75" customHeight="1">
      <c r="A4" s="672" t="s">
        <v>7</v>
      </c>
      <c r="B4" s="672"/>
    </row>
    <row r="5" spans="1:2" ht="21.75" customHeight="1">
      <c r="A5" s="673">
        <f>Assistencial!B4</f>
        <v>45717</v>
      </c>
      <c r="B5" s="673"/>
    </row>
    <row r="6" spans="1:2" ht="21.75" customHeight="1">
      <c r="B6" s="2"/>
    </row>
    <row r="7" spans="1:2" ht="21.75" customHeight="1">
      <c r="A7" s="368" t="s">
        <v>394</v>
      </c>
      <c r="B7" s="369">
        <f>A5</f>
        <v>45717</v>
      </c>
    </row>
    <row r="8" spans="1:2" ht="21.75" customHeight="1">
      <c r="A8" s="370" t="s">
        <v>395</v>
      </c>
      <c r="B8" s="371" t="s">
        <v>396</v>
      </c>
    </row>
    <row r="9" spans="1:2" ht="21.75" customHeight="1">
      <c r="A9" s="372" t="s">
        <v>397</v>
      </c>
      <c r="B9" s="373">
        <v>5561423.96</v>
      </c>
    </row>
    <row r="10" spans="1:2" ht="21.75" customHeight="1">
      <c r="A10" s="372" t="s">
        <v>398</v>
      </c>
      <c r="B10" s="373">
        <v>0</v>
      </c>
    </row>
    <row r="11" spans="1:2" ht="21.75" customHeight="1">
      <c r="A11" s="372" t="s">
        <v>399</v>
      </c>
      <c r="B11" s="373"/>
    </row>
    <row r="12" spans="1:2" ht="21.75" customHeight="1">
      <c r="A12" s="372" t="s">
        <v>400</v>
      </c>
      <c r="B12" s="373"/>
    </row>
    <row r="13" spans="1:2" ht="21.75" customHeight="1">
      <c r="A13" s="372" t="s">
        <v>401</v>
      </c>
      <c r="B13" s="373"/>
    </row>
    <row r="14" spans="1:2" ht="21.75" customHeight="1">
      <c r="A14" s="374" t="s">
        <v>402</v>
      </c>
      <c r="B14" s="375">
        <f>B9+B10+B11-B12-B13</f>
        <v>5561423.96</v>
      </c>
    </row>
    <row r="15" spans="1:2" ht="21.75" customHeight="1">
      <c r="A15" s="376" t="s">
        <v>403</v>
      </c>
      <c r="B15" s="373">
        <v>165141.98000000001</v>
      </c>
    </row>
    <row r="16" spans="1:2" ht="21.75" customHeight="1">
      <c r="A16" s="376" t="s">
        <v>404</v>
      </c>
      <c r="B16" s="373"/>
    </row>
    <row r="17" spans="1:2" ht="21.75" customHeight="1">
      <c r="A17" s="376" t="s">
        <v>405</v>
      </c>
      <c r="B17" s="373"/>
    </row>
    <row r="18" spans="1:2" ht="21.75" customHeight="1">
      <c r="A18" s="376" t="s">
        <v>406</v>
      </c>
      <c r="B18" s="373">
        <f>127977.51+108715.23+32007.68</f>
        <v>268700.42</v>
      </c>
    </row>
    <row r="19" spans="1:2" ht="21.75" customHeight="1">
      <c r="A19" s="376" t="s">
        <v>407</v>
      </c>
      <c r="B19" s="373">
        <v>0</v>
      </c>
    </row>
    <row r="20" spans="1:2" ht="21.75" customHeight="1">
      <c r="A20" s="376" t="s">
        <v>408</v>
      </c>
      <c r="B20" s="373">
        <v>10.39</v>
      </c>
    </row>
    <row r="21" spans="1:2" ht="21.75" customHeight="1">
      <c r="A21" s="374" t="s">
        <v>409</v>
      </c>
      <c r="B21" s="375">
        <f>SUM(B15:B20)</f>
        <v>433852.79000000004</v>
      </c>
    </row>
    <row r="22" spans="1:2" ht="21.75" customHeight="1">
      <c r="A22" s="377" t="s">
        <v>410</v>
      </c>
      <c r="B22" s="378">
        <f>B21+B14</f>
        <v>5995276.75</v>
      </c>
    </row>
    <row r="23" spans="1:2" ht="21.75" customHeight="1">
      <c r="A23" s="379"/>
      <c r="B23" s="380"/>
    </row>
    <row r="24" spans="1:2" ht="21.75" customHeight="1">
      <c r="A24" s="368" t="str">
        <f>A7</f>
        <v>DESCRIÇÃO</v>
      </c>
      <c r="B24" s="369">
        <f>B7</f>
        <v>45717</v>
      </c>
    </row>
    <row r="25" spans="1:2" ht="21.75" customHeight="1">
      <c r="A25" s="370" t="s">
        <v>411</v>
      </c>
      <c r="B25" s="371" t="s">
        <v>396</v>
      </c>
    </row>
    <row r="26" spans="1:2" ht="21.75" customHeight="1">
      <c r="A26" s="374" t="s">
        <v>412</v>
      </c>
      <c r="B26" s="375">
        <f>SUM(B28:B37)</f>
        <v>2196747.8799999994</v>
      </c>
    </row>
    <row r="27" spans="1:2" ht="21.75" customHeight="1">
      <c r="A27" s="374" t="s">
        <v>413</v>
      </c>
      <c r="B27" s="375">
        <f>SUM(B28:B29)</f>
        <v>1650046.0999999999</v>
      </c>
    </row>
    <row r="28" spans="1:2" ht="21.75" customHeight="1">
      <c r="A28" s="376" t="s">
        <v>414</v>
      </c>
      <c r="B28" s="373">
        <f>1631486.98-8664.04+27223.16</f>
        <v>1650046.0999999999</v>
      </c>
    </row>
    <row r="29" spans="1:2" ht="21.75" customHeight="1">
      <c r="A29" s="376" t="s">
        <v>415</v>
      </c>
      <c r="B29" s="373"/>
    </row>
    <row r="30" spans="1:2" ht="21.75" customHeight="1">
      <c r="A30" s="376" t="s">
        <v>416</v>
      </c>
      <c r="B30" s="373"/>
    </row>
    <row r="31" spans="1:2" ht="21.75" customHeight="1">
      <c r="A31" s="376" t="s">
        <v>417</v>
      </c>
      <c r="B31" s="373">
        <f>184054.37-17585.14</f>
        <v>166469.22999999998</v>
      </c>
    </row>
    <row r="32" spans="1:2" ht="21.75" customHeight="1">
      <c r="A32" s="376" t="s">
        <v>418</v>
      </c>
      <c r="B32" s="373"/>
    </row>
    <row r="33" spans="1:2" ht="21.75" customHeight="1">
      <c r="A33" s="376" t="s">
        <v>419</v>
      </c>
      <c r="B33" s="381"/>
    </row>
    <row r="34" spans="1:2" ht="21.75" customHeight="1">
      <c r="A34" s="376" t="s">
        <v>420</v>
      </c>
      <c r="B34" s="381">
        <f>258550.39-701.44</f>
        <v>257848.95</v>
      </c>
    </row>
    <row r="35" spans="1:2" ht="21.75" customHeight="1">
      <c r="A35" s="376" t="s">
        <v>421</v>
      </c>
      <c r="B35" s="373">
        <f>128476.53-15.5</f>
        <v>128461.03</v>
      </c>
    </row>
    <row r="36" spans="1:2" ht="21.75" customHeight="1">
      <c r="A36" s="376" t="s">
        <v>422</v>
      </c>
      <c r="B36" s="373">
        <f>-6077.43</f>
        <v>-6077.43</v>
      </c>
    </row>
    <row r="37" spans="1:2" ht="21.75" customHeight="1">
      <c r="A37" s="376" t="s">
        <v>423</v>
      </c>
      <c r="B37" s="381"/>
    </row>
    <row r="38" spans="1:2" ht="21.75" customHeight="1">
      <c r="A38" s="374" t="s">
        <v>424</v>
      </c>
      <c r="B38" s="375">
        <f>SUM(B39:B43)</f>
        <v>893014.95</v>
      </c>
    </row>
    <row r="39" spans="1:2" ht="21.75" customHeight="1">
      <c r="A39" s="376" t="s">
        <v>425</v>
      </c>
      <c r="B39" s="373">
        <f>214444.42-1023.61+24116.71+55491.24-0.04+408.33</f>
        <v>293437.05000000005</v>
      </c>
    </row>
    <row r="40" spans="1:2" ht="21.75" customHeight="1">
      <c r="A40" s="376" t="s">
        <v>426</v>
      </c>
      <c r="B40" s="373">
        <f>336599.57-7679.34+182967.49-B41</f>
        <v>474570.20999999996</v>
      </c>
    </row>
    <row r="41" spans="1:2" ht="21.75" customHeight="1">
      <c r="A41" s="376" t="s">
        <v>427</v>
      </c>
      <c r="B41" s="382">
        <v>37317.51</v>
      </c>
    </row>
    <row r="42" spans="1:2" ht="21.75" customHeight="1">
      <c r="A42" s="376" t="s">
        <v>428</v>
      </c>
      <c r="B42" s="373">
        <v>29885.49</v>
      </c>
    </row>
    <row r="43" spans="1:2" ht="21.75" customHeight="1">
      <c r="A43" s="376" t="s">
        <v>429</v>
      </c>
      <c r="B43" s="373">
        <v>57804.69</v>
      </c>
    </row>
    <row r="44" spans="1:2" ht="21.75" customHeight="1">
      <c r="A44" s="374" t="s">
        <v>430</v>
      </c>
      <c r="B44" s="375">
        <f>SUM(B45:B52)</f>
        <v>313201.37</v>
      </c>
    </row>
    <row r="45" spans="1:2" ht="21.75" customHeight="1">
      <c r="A45" s="376" t="s">
        <v>431</v>
      </c>
      <c r="B45" s="373">
        <f>41947.4+13250.31</f>
        <v>55197.71</v>
      </c>
    </row>
    <row r="46" spans="1:2" ht="21.75" customHeight="1">
      <c r="A46" s="376" t="s">
        <v>432</v>
      </c>
      <c r="B46" s="373">
        <v>101981.39</v>
      </c>
    </row>
    <row r="47" spans="1:2" ht="21.75" customHeight="1">
      <c r="A47" s="376" t="s">
        <v>433</v>
      </c>
      <c r="B47" s="373">
        <v>23451.82</v>
      </c>
    </row>
    <row r="48" spans="1:2" ht="21.75" customHeight="1">
      <c r="A48" s="376" t="s">
        <v>434</v>
      </c>
      <c r="B48" s="373">
        <v>36459.25</v>
      </c>
    </row>
    <row r="49" spans="1:2" ht="21.75" customHeight="1">
      <c r="A49" s="376" t="s">
        <v>435</v>
      </c>
      <c r="B49" s="373">
        <v>8841.4599999999991</v>
      </c>
    </row>
    <row r="50" spans="1:2" ht="21.75" customHeight="1">
      <c r="A50" s="376" t="s">
        <v>436</v>
      </c>
      <c r="B50" s="373">
        <v>32605.43</v>
      </c>
    </row>
    <row r="51" spans="1:2" ht="21.75" customHeight="1">
      <c r="A51" s="376" t="s">
        <v>437</v>
      </c>
      <c r="B51" s="373">
        <f>54664.32-0.01</f>
        <v>54664.31</v>
      </c>
    </row>
    <row r="52" spans="1:2" ht="21.75" customHeight="1">
      <c r="A52" s="376" t="s">
        <v>438</v>
      </c>
      <c r="B52" s="373"/>
    </row>
    <row r="53" spans="1:2" ht="21.75" customHeight="1">
      <c r="A53" s="374" t="s">
        <v>439</v>
      </c>
      <c r="B53" s="375">
        <f>SUM(B54:B56)</f>
        <v>1274.55</v>
      </c>
    </row>
    <row r="54" spans="1:2" ht="21.75" customHeight="1">
      <c r="A54" s="376" t="s">
        <v>440</v>
      </c>
      <c r="B54" s="373">
        <v>1274.55</v>
      </c>
    </row>
    <row r="55" spans="1:2" ht="21.75" customHeight="1">
      <c r="A55" s="376" t="s">
        <v>441</v>
      </c>
      <c r="B55" s="373">
        <v>0</v>
      </c>
    </row>
    <row r="56" spans="1:2" ht="21.75" customHeight="1">
      <c r="A56" s="376" t="s">
        <v>442</v>
      </c>
      <c r="B56" s="373">
        <v>0</v>
      </c>
    </row>
    <row r="57" spans="1:2" ht="21.75" customHeight="1">
      <c r="A57" s="374" t="s">
        <v>443</v>
      </c>
      <c r="B57" s="375">
        <f>SUM(B58:B62)</f>
        <v>0</v>
      </c>
    </row>
    <row r="58" spans="1:2" ht="21.75" customHeight="1">
      <c r="A58" s="376" t="s">
        <v>444</v>
      </c>
      <c r="B58" s="373">
        <v>0</v>
      </c>
    </row>
    <row r="59" spans="1:2" ht="21.75" customHeight="1">
      <c r="A59" s="376" t="s">
        <v>445</v>
      </c>
      <c r="B59" s="373">
        <v>0</v>
      </c>
    </row>
    <row r="60" spans="1:2" ht="21.75" customHeight="1">
      <c r="A60" s="376" t="s">
        <v>446</v>
      </c>
      <c r="B60" s="373">
        <v>0</v>
      </c>
    </row>
    <row r="61" spans="1:2" ht="21.75" customHeight="1">
      <c r="A61" s="376" t="s">
        <v>447</v>
      </c>
      <c r="B61" s="373">
        <v>0</v>
      </c>
    </row>
    <row r="62" spans="1:2" ht="21.75" customHeight="1">
      <c r="A62" s="376" t="s">
        <v>448</v>
      </c>
      <c r="B62" s="373">
        <v>0</v>
      </c>
    </row>
    <row r="63" spans="1:2" ht="21.75" customHeight="1">
      <c r="A63" s="374" t="s">
        <v>449</v>
      </c>
      <c r="B63" s="375">
        <f>B64+B69+B73</f>
        <v>0</v>
      </c>
    </row>
    <row r="64" spans="1:2" ht="21.75" customHeight="1">
      <c r="A64" s="374" t="s">
        <v>450</v>
      </c>
      <c r="B64" s="375">
        <f>SUM(B65:B68)</f>
        <v>0</v>
      </c>
    </row>
    <row r="65" spans="1:2" ht="21.75" customHeight="1">
      <c r="A65" s="376" t="s">
        <v>451</v>
      </c>
      <c r="B65" s="373">
        <v>0</v>
      </c>
    </row>
    <row r="66" spans="1:2" ht="21.75" customHeight="1">
      <c r="A66" s="376" t="s">
        <v>452</v>
      </c>
      <c r="B66" s="373">
        <v>0</v>
      </c>
    </row>
    <row r="67" spans="1:2" ht="21.75" customHeight="1">
      <c r="A67" s="376" t="s">
        <v>453</v>
      </c>
      <c r="B67" s="373"/>
    </row>
    <row r="68" spans="1:2" ht="21.75" customHeight="1">
      <c r="A68" s="376" t="s">
        <v>454</v>
      </c>
      <c r="B68" s="373"/>
    </row>
    <row r="69" spans="1:2" ht="21.75" customHeight="1">
      <c r="A69" s="374" t="s">
        <v>455</v>
      </c>
      <c r="B69" s="375">
        <f>SUM(B70:B72)</f>
        <v>0</v>
      </c>
    </row>
    <row r="70" spans="1:2" ht="21.75" customHeight="1">
      <c r="A70" s="376" t="s">
        <v>456</v>
      </c>
      <c r="B70" s="373">
        <v>0</v>
      </c>
    </row>
    <row r="71" spans="1:2" ht="21.75" customHeight="1">
      <c r="A71" s="376" t="s">
        <v>457</v>
      </c>
      <c r="B71" s="373"/>
    </row>
    <row r="72" spans="1:2" ht="21.75" customHeight="1">
      <c r="A72" s="376" t="s">
        <v>458</v>
      </c>
      <c r="B72" s="373"/>
    </row>
    <row r="73" spans="1:2" ht="21.75" customHeight="1">
      <c r="A73" s="374" t="s">
        <v>459</v>
      </c>
      <c r="B73" s="375">
        <f>SUM(B74:B75)</f>
        <v>0</v>
      </c>
    </row>
    <row r="74" spans="1:2" ht="21.75" customHeight="1">
      <c r="A74" s="376" t="s">
        <v>460</v>
      </c>
      <c r="B74" s="373">
        <v>0</v>
      </c>
    </row>
    <row r="75" spans="1:2" ht="21.75" customHeight="1">
      <c r="A75" s="376" t="s">
        <v>461</v>
      </c>
      <c r="B75" s="373"/>
    </row>
    <row r="76" spans="1:2" ht="21.75" customHeight="1">
      <c r="A76" s="377" t="s">
        <v>462</v>
      </c>
      <c r="B76" s="378">
        <f>B26+B38+B44+B53+B57+B63</f>
        <v>3404238.7499999991</v>
      </c>
    </row>
    <row r="77" spans="1:2" ht="21.75" customHeight="1">
      <c r="A77" s="384" t="s">
        <v>463</v>
      </c>
      <c r="B77" s="383">
        <f>B22-B76</f>
        <v>2591038.0000000009</v>
      </c>
    </row>
    <row r="78" spans="1:2" s="386" customFormat="1" ht="21.75" customHeight="1">
      <c r="A78" s="406"/>
      <c r="B78" s="385"/>
    </row>
    <row r="79" spans="1:2" ht="21.75" customHeight="1">
      <c r="A79" s="387" t="s">
        <v>464</v>
      </c>
      <c r="B79" s="409">
        <f>SUM(B80:B83)</f>
        <v>0</v>
      </c>
    </row>
    <row r="80" spans="1:2" ht="21.75" customHeight="1">
      <c r="A80" s="407" t="s">
        <v>465</v>
      </c>
      <c r="B80" s="408">
        <v>0</v>
      </c>
    </row>
    <row r="81" spans="1:2" ht="21.75" customHeight="1">
      <c r="A81" s="388" t="s">
        <v>466</v>
      </c>
      <c r="B81" s="373">
        <v>0</v>
      </c>
    </row>
    <row r="82" spans="1:2" ht="21.75" customHeight="1">
      <c r="A82" s="388" t="s">
        <v>467</v>
      </c>
      <c r="B82" s="373">
        <v>0</v>
      </c>
    </row>
    <row r="83" spans="1:2" ht="21.75" customHeight="1">
      <c r="A83" s="389" t="s">
        <v>468</v>
      </c>
      <c r="B83" s="373"/>
    </row>
    <row r="84" spans="1:2" ht="21.75" customHeight="1">
      <c r="A84" s="391"/>
      <c r="B84" s="3"/>
    </row>
    <row r="85" spans="1:2" ht="21.75" customHeight="1">
      <c r="A85" s="392"/>
      <c r="B85" s="4"/>
    </row>
    <row r="86" spans="1:2" ht="21.75" customHeight="1">
      <c r="A86" s="393" t="s">
        <v>469</v>
      </c>
      <c r="B86" s="394"/>
    </row>
    <row r="87" spans="1:2" ht="21.75" customHeight="1">
      <c r="A87" s="395" t="s">
        <v>394</v>
      </c>
      <c r="B87" s="5">
        <f>A5</f>
        <v>45717</v>
      </c>
    </row>
    <row r="88" spans="1:2" ht="21.75" customHeight="1">
      <c r="A88" s="396" t="s">
        <v>470</v>
      </c>
      <c r="B88" s="397"/>
    </row>
    <row r="89" spans="1:2" ht="21.75" customHeight="1">
      <c r="A89" s="388" t="s">
        <v>471</v>
      </c>
      <c r="B89" s="373">
        <v>0</v>
      </c>
    </row>
    <row r="90" spans="1:2" ht="21.75" customHeight="1">
      <c r="A90" s="388" t="s">
        <v>472</v>
      </c>
      <c r="B90" s="373">
        <v>0</v>
      </c>
    </row>
    <row r="91" spans="1:2" ht="21.75" customHeight="1">
      <c r="A91" s="410" t="s">
        <v>473</v>
      </c>
      <c r="B91" s="383">
        <f>B88-B89+B90</f>
        <v>0</v>
      </c>
    </row>
    <row r="92" spans="1:2" ht="21.75" customHeight="1">
      <c r="A92" s="411"/>
      <c r="B92" s="400"/>
    </row>
    <row r="93" spans="1:2" ht="21.75" customHeight="1">
      <c r="A93" s="390" t="s">
        <v>474</v>
      </c>
      <c r="B93" s="394"/>
    </row>
    <row r="94" spans="1:2" ht="21.75" customHeight="1">
      <c r="A94" s="395" t="s">
        <v>394</v>
      </c>
      <c r="B94" s="5">
        <f>B7</f>
        <v>45717</v>
      </c>
    </row>
    <row r="95" spans="1:2" ht="21.75" customHeight="1">
      <c r="A95" s="396" t="s">
        <v>470</v>
      </c>
      <c r="B95" s="401">
        <v>0</v>
      </c>
    </row>
    <row r="96" spans="1:2" ht="21.75" customHeight="1">
      <c r="A96" s="388" t="s">
        <v>471</v>
      </c>
      <c r="B96" s="373">
        <v>11349149.91</v>
      </c>
    </row>
    <row r="97" spans="1:2" ht="21.75" customHeight="1">
      <c r="A97" s="388" t="s">
        <v>472</v>
      </c>
      <c r="B97" s="373">
        <v>11349149.91</v>
      </c>
    </row>
    <row r="98" spans="1:2" ht="21.75" customHeight="1">
      <c r="A98" s="388" t="s">
        <v>475</v>
      </c>
      <c r="B98" s="373">
        <v>0</v>
      </c>
    </row>
    <row r="99" spans="1:2" ht="21.75" customHeight="1">
      <c r="A99" s="388" t="s">
        <v>476</v>
      </c>
      <c r="B99" s="373"/>
    </row>
    <row r="100" spans="1:2" ht="21.75" customHeight="1">
      <c r="A100" s="412" t="s">
        <v>477</v>
      </c>
      <c r="B100" s="383">
        <f>B95-B96+B97-B98+B99</f>
        <v>0</v>
      </c>
    </row>
    <row r="101" spans="1:2" s="386" customFormat="1" ht="21.75" customHeight="1">
      <c r="A101" s="413"/>
      <c r="B101" s="403"/>
    </row>
    <row r="102" spans="1:2" ht="21.75" customHeight="1">
      <c r="A102" s="393" t="s">
        <v>478</v>
      </c>
      <c r="B102" s="394"/>
    </row>
    <row r="103" spans="1:2" ht="21.75" customHeight="1">
      <c r="A103" s="395" t="s">
        <v>394</v>
      </c>
      <c r="B103" s="5">
        <f>A5</f>
        <v>45717</v>
      </c>
    </row>
    <row r="104" spans="1:2" ht="21.75" customHeight="1">
      <c r="A104" s="396" t="s">
        <v>470</v>
      </c>
      <c r="B104" s="401">
        <v>22648131.899999999</v>
      </c>
    </row>
    <row r="105" spans="1:2" ht="21.75" customHeight="1">
      <c r="A105" s="388" t="s">
        <v>471</v>
      </c>
      <c r="B105" s="373">
        <v>5568084.2199999997</v>
      </c>
    </row>
    <row r="106" spans="1:2" ht="21.75" customHeight="1">
      <c r="A106" s="388" t="s">
        <v>472</v>
      </c>
      <c r="B106" s="373">
        <f>5957887.18-B107</f>
        <v>5786673.21</v>
      </c>
    </row>
    <row r="107" spans="1:2" ht="21.75" customHeight="1">
      <c r="A107" s="388" t="s">
        <v>479</v>
      </c>
      <c r="B107" s="373">
        <v>171213.97</v>
      </c>
    </row>
    <row r="108" spans="1:2" ht="21.75" customHeight="1">
      <c r="A108" s="402" t="s">
        <v>480</v>
      </c>
      <c r="B108" s="383">
        <f>B104-B105+B106+B107</f>
        <v>23037934.859999999</v>
      </c>
    </row>
    <row r="109" spans="1:2" ht="21.75" customHeight="1">
      <c r="A109" s="399"/>
      <c r="B109" s="400"/>
    </row>
    <row r="110" spans="1:2" ht="21.75" customHeight="1">
      <c r="A110" s="398" t="s">
        <v>481</v>
      </c>
      <c r="B110" s="404">
        <f>B108+B100+B91</f>
        <v>23037934.859999999</v>
      </c>
    </row>
    <row r="111" spans="1:2" ht="21.75" customHeight="1">
      <c r="A111" s="399"/>
      <c r="B111" s="400"/>
    </row>
    <row r="112" spans="1:2" ht="21.75" customHeight="1">
      <c r="A112" s="393" t="s">
        <v>482</v>
      </c>
      <c r="B112" s="394"/>
    </row>
    <row r="113" spans="1:2" ht="21.75" customHeight="1">
      <c r="A113" s="395" t="s">
        <v>394</v>
      </c>
      <c r="B113" s="5">
        <f>B7</f>
        <v>45717</v>
      </c>
    </row>
    <row r="114" spans="1:2" ht="21.75" customHeight="1">
      <c r="A114" s="405" t="s">
        <v>483</v>
      </c>
      <c r="B114" s="373"/>
    </row>
    <row r="115" spans="1:2" ht="21.75" customHeight="1">
      <c r="A115" s="405" t="s">
        <v>484</v>
      </c>
      <c r="B115" s="373"/>
    </row>
    <row r="116" spans="1:2" ht="21.75" customHeight="1">
      <c r="A116" s="405" t="s">
        <v>485</v>
      </c>
      <c r="B116" s="382">
        <v>8025519.1600000001</v>
      </c>
    </row>
    <row r="117" spans="1:2" ht="32.25" customHeight="1">
      <c r="A117" s="405" t="s">
        <v>486</v>
      </c>
      <c r="B117" s="373">
        <v>0</v>
      </c>
    </row>
    <row r="118" spans="1:2" ht="21.75" customHeight="1">
      <c r="A118" s="398" t="s">
        <v>39</v>
      </c>
      <c r="B118" s="383">
        <f>SUM(B114:B117)</f>
        <v>8025519.1600000001</v>
      </c>
    </row>
    <row r="119" spans="1:2" ht="21.75" customHeight="1">
      <c r="A119" s="399"/>
      <c r="B119" s="400"/>
    </row>
    <row r="120" spans="1:2" ht="21.75" customHeight="1">
      <c r="A120" s="393" t="s">
        <v>487</v>
      </c>
      <c r="B120" s="394"/>
    </row>
    <row r="121" spans="1:2" ht="21.75" customHeight="1">
      <c r="A121" s="395" t="s">
        <v>394</v>
      </c>
      <c r="B121" s="6">
        <f>B7</f>
        <v>45717</v>
      </c>
    </row>
    <row r="122" spans="1:2" ht="21.75" customHeight="1">
      <c r="A122" s="396" t="s">
        <v>470</v>
      </c>
      <c r="B122" s="401">
        <v>9702181.6400000006</v>
      </c>
    </row>
    <row r="123" spans="1:2" ht="21.75" customHeight="1">
      <c r="A123" s="396" t="s">
        <v>488</v>
      </c>
      <c r="B123" s="401">
        <f>SUM(B34:B36)</f>
        <v>380232.55</v>
      </c>
    </row>
    <row r="124" spans="1:2" ht="21.75" customHeight="1">
      <c r="A124" s="388" t="s">
        <v>489</v>
      </c>
      <c r="B124" s="373">
        <f>-226657.25+150261.9</f>
        <v>-76395.350000000006</v>
      </c>
    </row>
    <row r="125" spans="1:2" ht="21.75" customHeight="1">
      <c r="A125" s="388" t="s">
        <v>490</v>
      </c>
      <c r="B125" s="373">
        <f>-5845.4+128298.9</f>
        <v>122453.5</v>
      </c>
    </row>
    <row r="126" spans="1:2" ht="21.75" customHeight="1">
      <c r="A126" s="388" t="s">
        <v>491</v>
      </c>
      <c r="B126" s="373">
        <f>-28291.83+12138.83</f>
        <v>-16153.000000000002</v>
      </c>
    </row>
    <row r="127" spans="1:2" ht="21.75" customHeight="1">
      <c r="A127" s="398" t="s">
        <v>492</v>
      </c>
      <c r="B127" s="383">
        <f>B122+B123-B124-B125-B126</f>
        <v>10052509.040000001</v>
      </c>
    </row>
  </sheetData>
  <mergeCells count="5">
    <mergeCell ref="A1:B1"/>
    <mergeCell ref="A2:B2"/>
    <mergeCell ref="A3:B3"/>
    <mergeCell ref="A4:B4"/>
    <mergeCell ref="A5:B5"/>
  </mergeCells>
  <conditionalFormatting sqref="B77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scale="92" fitToHeight="0" orientation="portrait" r:id="rId1"/>
  <rowBreaks count="2" manualBreakCount="2">
    <brk id="78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Recursos Humanos</vt:lpstr>
      <vt:lpstr>Qualidade PSU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HRTGB-DELL09</cp:lastModifiedBy>
  <cp:lastPrinted>2025-02-26T12:35:28Z</cp:lastPrinted>
  <dcterms:created xsi:type="dcterms:W3CDTF">2011-05-06T11:59:00Z</dcterms:created>
  <dcterms:modified xsi:type="dcterms:W3CDTF">2025-04-14T12:46:12Z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