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5\"/>
    </mc:Choice>
  </mc:AlternateContent>
  <xr:revisionPtr revIDLastSave="0" documentId="13_ncr:1_{055B641D-EB63-44F5-9AE0-3065D4AA71D8}" xr6:coauthVersionLast="47" xr6:coauthVersionMax="47" xr10:uidLastSave="{00000000-0000-0000-0000-000000000000}"/>
  <bookViews>
    <workbookView xWindow="-120" yWindow="-120" windowWidth="29040" windowHeight="17640" tabRatio="942" activeTab="8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_FilterDatabase" localSheetId="6" hidden="1">'Atividade Cirúrgica'!$A$173:$C$287</definedName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Cirúrgica'!$A$1:$D$294</definedName>
    <definedName name="_xlnm.Print_Area" localSheetId="1">Leitos!$A$1:$F$44</definedName>
    <definedName name="_xlnm.Print_Area" localSheetId="11">Materiais!$A$1:$F$38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C12" i="16" l="1"/>
  <c r="C10" i="16"/>
  <c r="B29" i="15"/>
  <c r="B15" i="15"/>
  <c r="B38" i="15"/>
  <c r="B33" i="8"/>
  <c r="B9" i="20"/>
  <c r="F9" i="20"/>
  <c r="D22" i="18"/>
  <c r="B22" i="18"/>
  <c r="B30" i="18"/>
  <c r="D30" i="18"/>
  <c r="B8" i="15" l="1"/>
  <c r="D12" i="18"/>
  <c r="D25" i="18"/>
  <c r="D24" i="18"/>
  <c r="D23" i="18"/>
  <c r="D21" i="18"/>
  <c r="D20" i="18"/>
  <c r="D11" i="18"/>
  <c r="B11" i="18"/>
  <c r="I12" i="20"/>
  <c r="I9" i="20"/>
  <c r="H12" i="20"/>
  <c r="H9" i="20"/>
  <c r="B13" i="20"/>
  <c r="B12" i="20"/>
  <c r="B11" i="20"/>
  <c r="B10" i="20"/>
  <c r="B8" i="20"/>
  <c r="C287" i="17" l="1"/>
  <c r="B126" i="5"/>
  <c r="B125" i="5"/>
  <c r="B124" i="5"/>
  <c r="B116" i="5"/>
  <c r="B106" i="5"/>
  <c r="B105" i="5"/>
  <c r="B62" i="5"/>
  <c r="B65" i="5"/>
  <c r="B70" i="5"/>
  <c r="B51" i="5"/>
  <c r="B61" i="5"/>
  <c r="B39" i="5"/>
  <c r="B47" i="5"/>
  <c r="B46" i="5"/>
  <c r="B45" i="5"/>
  <c r="B40" i="5"/>
  <c r="B28" i="5"/>
  <c r="B36" i="5"/>
  <c r="B35" i="5"/>
  <c r="B34" i="5"/>
  <c r="B31" i="5"/>
  <c r="B18" i="5"/>
  <c r="A5" i="5"/>
  <c r="H16" i="16" l="1"/>
  <c r="C170" i="17" l="1"/>
  <c r="D14" i="21"/>
  <c r="C78" i="18" l="1"/>
  <c r="F14" i="20"/>
  <c r="F13" i="20"/>
  <c r="B19" i="15"/>
  <c r="H17" i="16" l="1"/>
  <c r="H18" i="16"/>
  <c r="H19" i="16"/>
  <c r="H20" i="16" l="1"/>
  <c r="E60" i="18"/>
  <c r="B64" i="5" l="1"/>
  <c r="B44" i="5"/>
  <c r="B21" i="5"/>
  <c r="B4" i="19" l="1"/>
  <c r="B51" i="8" l="1"/>
  <c r="D51" i="8"/>
  <c r="C10" i="17"/>
  <c r="B123" i="5"/>
  <c r="B127" i="5" s="1"/>
  <c r="E51" i="18" l="1"/>
  <c r="E72" i="18" l="1"/>
  <c r="B57" i="5" l="1"/>
  <c r="E26" i="18" l="1"/>
  <c r="F20" i="16" l="1"/>
  <c r="E59" i="18" l="1"/>
  <c r="B68" i="18" l="1"/>
  <c r="B14" i="5" l="1"/>
  <c r="B118" i="5" l="1"/>
  <c r="B108" i="5"/>
  <c r="B100" i="5"/>
  <c r="B91" i="5"/>
  <c r="B79" i="5"/>
  <c r="B73" i="5"/>
  <c r="B69" i="5"/>
  <c r="B53" i="5"/>
  <c r="B38" i="5"/>
  <c r="B27" i="5"/>
  <c r="B26" i="5"/>
  <c r="A24" i="5"/>
  <c r="B103" i="5"/>
  <c r="A3" i="5"/>
  <c r="B3" i="14"/>
  <c r="B4" i="7"/>
  <c r="B3" i="7"/>
  <c r="G72" i="15"/>
  <c r="F72" i="15"/>
  <c r="E72" i="15"/>
  <c r="L26" i="15"/>
  <c r="K26" i="15"/>
  <c r="J26" i="15"/>
  <c r="B3" i="15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B3" i="16"/>
  <c r="D55" i="8"/>
  <c r="H51" i="8"/>
  <c r="G51" i="8"/>
  <c r="F51" i="8"/>
  <c r="E51" i="8"/>
  <c r="C51" i="8"/>
  <c r="H32" i="8"/>
  <c r="F32" i="8"/>
  <c r="E32" i="8"/>
  <c r="B28" i="8" s="1"/>
  <c r="G30" i="8"/>
  <c r="G29" i="8"/>
  <c r="G28" i="8"/>
  <c r="G27" i="8"/>
  <c r="G26" i="8"/>
  <c r="D20" i="8"/>
  <c r="C20" i="8"/>
  <c r="B20" i="8"/>
  <c r="B4" i="8"/>
  <c r="B3" i="8"/>
  <c r="C293" i="17"/>
  <c r="C16" i="17"/>
  <c r="C22" i="17" s="1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3" i="21"/>
  <c r="D12" i="21"/>
  <c r="D11" i="21"/>
  <c r="D10" i="21"/>
  <c r="D9" i="21"/>
  <c r="D8" i="21"/>
  <c r="D78" i="18"/>
  <c r="B78" i="18"/>
  <c r="E77" i="18"/>
  <c r="E78" i="18" s="1"/>
  <c r="D73" i="18"/>
  <c r="C73" i="18"/>
  <c r="B73" i="18"/>
  <c r="E73" i="18"/>
  <c r="E71" i="18"/>
  <c r="E76" i="18" s="1"/>
  <c r="D71" i="18"/>
  <c r="D76" i="18" s="1"/>
  <c r="C71" i="18"/>
  <c r="C76" i="18" s="1"/>
  <c r="B71" i="18"/>
  <c r="B76" i="18" s="1"/>
  <c r="D68" i="18"/>
  <c r="C68" i="18"/>
  <c r="E67" i="18"/>
  <c r="E66" i="18"/>
  <c r="E65" i="18"/>
  <c r="E64" i="18"/>
  <c r="E63" i="18"/>
  <c r="E62" i="18"/>
  <c r="E61" i="18"/>
  <c r="E58" i="18"/>
  <c r="E57" i="18"/>
  <c r="E56" i="18"/>
  <c r="E55" i="18"/>
  <c r="E54" i="18"/>
  <c r="E53" i="18"/>
  <c r="E52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E36" i="20"/>
  <c r="F12" i="20"/>
  <c r="E35" i="20" s="1"/>
  <c r="F11" i="20"/>
  <c r="E34" i="20" s="1"/>
  <c r="F10" i="20"/>
  <c r="B33" i="20" s="1"/>
  <c r="E32" i="20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9" i="15" l="1"/>
  <c r="E31" i="18"/>
  <c r="D38" i="20"/>
  <c r="B110" i="5"/>
  <c r="B22" i="5"/>
  <c r="F38" i="20"/>
  <c r="B27" i="20"/>
  <c r="B34" i="20"/>
  <c r="B35" i="20"/>
  <c r="B36" i="20"/>
  <c r="B37" i="20"/>
  <c r="B63" i="5"/>
  <c r="B76" i="5" s="1"/>
  <c r="D45" i="18"/>
  <c r="B31" i="20"/>
  <c r="B32" i="20"/>
  <c r="D37" i="18"/>
  <c r="G32" i="8"/>
  <c r="I26" i="8"/>
  <c r="C21" i="17"/>
  <c r="I27" i="8"/>
  <c r="F15" i="20"/>
  <c r="B29" i="8" s="1"/>
  <c r="B37" i="8" s="1"/>
  <c r="E33" i="20"/>
  <c r="E37" i="20"/>
  <c r="I28" i="8"/>
  <c r="I29" i="8"/>
  <c r="I30" i="8"/>
  <c r="E68" i="18"/>
  <c r="F30" i="21"/>
  <c r="D16" i="21"/>
  <c r="B7" i="5"/>
  <c r="B94" i="5" s="1"/>
  <c r="B87" i="5"/>
  <c r="C43" i="22"/>
  <c r="B20" i="16"/>
  <c r="G20" i="16"/>
  <c r="J20" i="16" s="1"/>
  <c r="I16" i="16"/>
  <c r="I17" i="16"/>
  <c r="I18" i="16"/>
  <c r="I19" i="16"/>
  <c r="J16" i="16"/>
  <c r="I32" i="8" l="1"/>
  <c r="E38" i="20"/>
  <c r="I20" i="16"/>
  <c r="B77" i="5"/>
  <c r="B38" i="20"/>
  <c r="C37" i="20" s="1"/>
  <c r="C8" i="8"/>
  <c r="B121" i="5"/>
  <c r="B113" i="5"/>
  <c r="B24" i="5"/>
  <c r="D12" i="8" l="1"/>
  <c r="C38" i="20"/>
  <c r="C32" i="20"/>
  <c r="C33" i="20"/>
  <c r="C35" i="20"/>
  <c r="C34" i="20"/>
  <c r="C31" i="20"/>
  <c r="C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<sst xmlns="http://schemas.openxmlformats.org/spreadsheetml/2006/main" count="1119" uniqueCount="821">
  <si>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</si>
  <si>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</si>
  <si>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</si>
  <si>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</si>
  <si>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</si>
  <si>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</si>
  <si>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</si>
  <si>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</si>
  <si>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</si>
  <si>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</si>
  <si>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</si>
  <si>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</si>
  <si>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</si>
  <si>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</si>
  <si>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</si>
  <si>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</si>
  <si>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</si>
  <si>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</si>
  <si>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</si>
  <si>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</si>
  <si>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</si>
  <si>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</si>
  <si>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</si>
  <si>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</si>
  <si>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</si>
  <si>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</si>
  <si>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</si>
  <si>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</si>
  <si>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</si>
  <si>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</si>
  <si>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</si>
  <si>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</si>
  <si>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</si>
  <si>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</si>
  <si>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</si>
  <si>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</si>
  <si>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</si>
  <si>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</si>
  <si>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</si>
  <si>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</si>
  <si>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</si>
  <si>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</si>
  <si>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</si>
  <si>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</si>
  <si>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</si>
  <si>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</si>
  <si>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</si>
  <si>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</si>
  <si>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</si>
  <si>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</si>
  <si>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</si>
  <si>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</si>
  <si>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</si>
  <si>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</si>
  <si>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</si>
  <si>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</si>
  <si>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</si>
  <si>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</si>
  <si>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</si>
  <si>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</si>
  <si>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</si>
  <si>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</si>
  <si>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</si>
  <si>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</si>
  <si>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</si>
  <si>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</si>
  <si>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</si>
  <si>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</si>
  <si>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</si>
  <si>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</si>
  <si>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</si>
  <si>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</si>
  <si>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</si>
  <si>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</si>
  <si>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</si>
  <si>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</si>
  <si>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</si>
  <si>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</si>
  <si>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</si>
  <si>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</si>
  <si>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</si>
  <si>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</si>
  <si>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</si>
  <si>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</si>
  <si>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</si>
  <si>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</si>
  <si>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</si>
  <si>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</si>
  <si>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</si>
  <si>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</si>
  <si>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</si>
  <si>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</si>
  <si>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</si>
  <si>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</si>
  <si>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</si>
  <si>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</si>
  <si>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</si>
  <si>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</si>
  <si>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</si>
  <si>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</si>
  <si>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</si>
  <si>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</si>
  <si>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</si>
  <si>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</si>
  <si>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</si>
  <si>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</si>
  <si>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</si>
  <si>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</si>
  <si>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</si>
  <si>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</si>
  <si>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</si>
  <si>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</si>
  <si>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</si>
  <si>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</si>
  <si>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</si>
  <si>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</si>
  <si>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</si>
  <si>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</si>
  <si>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</si>
  <si>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</si>
  <si>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</si>
  <si>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</si>
  <si>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</si>
  <si>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</si>
  <si>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</si>
  <si>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</si>
  <si>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</si>
  <si>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</si>
  <si>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</si>
  <si>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</si>
  <si>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</si>
  <si>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</si>
  <si>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</si>
  <si>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</si>
  <si>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</si>
  <si>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</si>
  <si>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</si>
  <si>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</si>
  <si>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</si>
  <si>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</si>
  <si>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</si>
  <si>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</si>
  <si>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</si>
  <si>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</si>
  <si>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</si>
  <si>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</si>
  <si>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</si>
  <si>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</si>
  <si>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</si>
  <si>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</si>
  <si>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</si>
  <si>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</si>
  <si>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</si>
  <si>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</si>
  <si>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</si>
  <si>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</si>
  <si>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</si>
  <si>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</si>
  <si>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</si>
  <si>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</si>
  <si>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</si>
  <si>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</si>
  <si>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</si>
  <si>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</si>
  <si>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</si>
  <si>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</si>
  <si>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</si>
  <si>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</si>
  <si>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</si>
  <si>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</si>
  <si>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</si>
  <si>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</si>
  <si>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</si>
  <si>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</si>
  <si>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</si>
  <si>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</si>
  <si>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</si>
  <si>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</si>
  <si>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</si>
  <si>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</si>
  <si>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</si>
  <si>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</si>
  <si>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</si>
  <si>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</si>
  <si>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</si>
  <si>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</si>
  <si>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</si>
  <si>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</si>
  <si>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</si>
  <si>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</si>
  <si>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</si>
  <si>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</si>
  <si>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</si>
  <si>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</si>
  <si>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</si>
  <si>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</si>
  <si>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</si>
  <si>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</si>
  <si>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</si>
  <si>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</si>
  <si>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</si>
  <si>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</si>
  <si>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</si>
  <si>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</si>
  <si>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</si>
  <si>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</si>
  <si>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</si>
  <si>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</si>
  <si>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</si>
  <si>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</si>
  <si>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</si>
  <si>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</si>
  <si>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</si>
  <si>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</si>
  <si>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</si>
  <si>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</si>
  <si>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</si>
  <si>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</si>
  <si>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</si>
  <si>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</si>
  <si>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</si>
  <si>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</si>
  <si>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</si>
  <si>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</si>
  <si>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</si>
  <si>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</si>
  <si>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</si>
  <si>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</si>
  <si>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</si>
  <si>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</si>
  <si>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</si>
  <si>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</si>
  <si>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</si>
  <si>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</si>
  <si>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</si>
  <si>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</si>
  <si>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</si>
  <si>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</si>
  <si>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</si>
  <si>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</si>
  <si>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</si>
  <si>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</si>
  <si>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</si>
  <si>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</si>
  <si>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</si>
  <si>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</si>
  <si>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</si>
  <si>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</si>
  <si>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</si>
  <si>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</si>
  <si>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</si>
  <si>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</si>
  <si>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</si>
  <si>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</si>
  <si>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</si>
  <si>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</si>
  <si>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</si>
  <si>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</si>
  <si>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</si>
  <si>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</si>
  <si>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</si>
  <si>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</si>
  <si>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</si>
  <si>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</si>
  <si>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</si>
  <si>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</si>
  <si>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</si>
  <si>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</si>
  <si>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</si>
  <si>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</si>
  <si>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</si>
  <si>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</si>
  <si>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</si>
  <si>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</si>
  <si>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</si>
  <si>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</si>
  <si>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</si>
  <si>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</si>
  <si>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</si>
  <si>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</si>
  <si>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</si>
  <si>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</si>
  <si>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</si>
  <si>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</si>
  <si>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</si>
  <si>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</si>
  <si>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</si>
  <si>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</si>
  <si>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</si>
  <si>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</si>
  <si>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</si>
  <si>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</si>
  <si>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</si>
  <si>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</si>
  <si>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</si>
  <si>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</si>
  <si>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</si>
  <si>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</si>
  <si>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</si>
  <si>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</si>
  <si>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</si>
  <si>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</si>
  <si>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</si>
  <si>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</si>
  <si>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</si>
  <si>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</si>
  <si>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</si>
  <si>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</si>
  <si>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</si>
  <si>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</si>
  <si>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</si>
  <si>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</si>
  <si>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</si>
  <si>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</si>
  <si>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</si>
  <si>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</si>
  <si>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</si>
  <si>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</si>
  <si>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</si>
  <si>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</si>
  <si>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</si>
  <si>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</si>
  <si>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</si>
  <si>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</si>
  <si>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</si>
  <si>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</si>
  <si>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</si>
  <si>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</si>
  <si>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</si>
  <si>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</si>
  <si>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</si>
  <si>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</si>
  <si>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</si>
  <si>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</si>
  <si>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</si>
  <si>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</si>
  <si>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</si>
  <si>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</si>
  <si>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</si>
  <si>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</si>
  <si>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</si>
  <si>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</si>
  <si>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</si>
  <si>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</si>
  <si>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</si>
  <si>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</si>
  <si>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</si>
  <si>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</si>
  <si>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</si>
  <si>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</si>
  <si>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</si>
  <si>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</si>
  <si>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</si>
  <si>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</si>
  <si>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</si>
  <si>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</si>
  <si>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</si>
  <si>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</si>
  <si>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</si>
  <si>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</si>
  <si>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</si>
  <si>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</si>
  <si>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</si>
  <si>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</si>
  <si>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</si>
  <si>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</si>
  <si>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</si>
  <si>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</si>
  <si>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</si>
  <si>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</si>
  <si>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</si>
  <si>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</si>
  <si>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</si>
  <si>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</si>
  <si>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</si>
  <si>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</si>
  <si>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</si>
  <si>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</si>
  <si>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</si>
  <si>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</si>
  <si>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</si>
  <si>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</si>
  <si>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</si>
  <si>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</si>
  <si>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</si>
  <si>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</si>
  <si>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</si>
  <si>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</si>
  <si>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</si>
  <si>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</si>
  <si>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</si>
  <si>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</si>
  <si>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</si>
  <si>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</si>
  <si>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</si>
  <si>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</si>
  <si>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</si>
  <si>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</si>
  <si>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</si>
  <si>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</si>
  <si>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</si>
  <si>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</si>
  <si>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</si>
  <si>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</si>
  <si>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</si>
  <si>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</si>
  <si>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</si>
  <si>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</si>
  <si>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</si>
  <si>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</si>
  <si>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</si>
  <si>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</si>
  <si>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</si>
  <si>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</si>
  <si>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</si>
  <si>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</si>
  <si>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</si>
  <si>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</si>
  <si>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</si>
  <si>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</si>
  <si>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</si>
  <si>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</si>
  <si>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</si>
  <si>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</si>
  <si>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</si>
  <si>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</si>
  <si>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</si>
  <si>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</si>
  <si>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</si>
  <si>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</si>
  <si>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</si>
  <si>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</si>
  <si>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</si>
  <si>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</si>
  <si>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</si>
  <si>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</si>
  <si>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</si>
  <si>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</si>
  <si>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</si>
  <si>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</si>
  <si>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</si>
  <si>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</si>
  <si>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</si>
  <si>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</si>
  <si>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</si>
  <si>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</si>
  <si>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</si>
  <si>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</si>
  <si>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</si>
  <si>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</si>
  <si>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</si>
  <si>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</si>
  <si>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</si>
  <si>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</si>
  <si>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</si>
  <si>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</si>
  <si>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</si>
  <si>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</si>
  <si>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</si>
  <si>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</si>
  <si>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</si>
  <si>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</si>
  <si>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</si>
  <si>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</si>
  <si>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</si>
  <si>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</si>
  <si>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</si>
  <si>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</si>
  <si>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</si>
  <si>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</si>
  <si>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</si>
  <si>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</si>
  <si>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</si>
  <si>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</si>
  <si>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</si>
  <si>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</si>
  <si>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</si>
  <si>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</si>
  <si>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</si>
  <si>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</si>
  <si>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</si>
  <si>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</si>
  <si>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</si>
  <si>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</si>
  <si>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</si>
  <si>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</si>
  <si>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</si>
  <si>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</si>
  <si>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</si>
  <si>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</si>
  <si>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</si>
  <si>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Cirurgias de Urgência</t>
  </si>
  <si>
    <t>Equipo Bomba Normal Santronic  -  EQUIPO PARA BOMBA DE INFUSÃO SAMTRONIC S/FILTRO EI 0421 0000</t>
  </si>
  <si>
    <t>EQUIPO MACRO C/ENTRADA DE AR E INJ. LATERAL</t>
  </si>
  <si>
    <t>EXTENSOR PACIENTE COM ANTIRREFLUXO UMA VIA</t>
  </si>
  <si>
    <t>F.MONONYLON 3.0 C/A P1663T</t>
  </si>
  <si>
    <t>F.VICRYL 1 C/A J535H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</si>
  <si>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</si>
  <si>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</si>
  <si>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</si>
  <si>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</si>
  <si>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SERINGA DESCARTAVEL 10 ML S/ AGULHA - SLIP S/DISPOSITIVO – C/ GRADUAÇÃO POR ML</t>
  </si>
  <si>
    <t>SERINGA DESCARTAVEL 20 ML S/ AGULHA - SLIP S/DISPOSITIVO</t>
  </si>
  <si>
    <t>SERINGA DESCARTAVEL 60 ML S/ AGULHA - BICO LUER LOCK  - S/DISPOSITIVO</t>
  </si>
  <si>
    <t>TIRAS P/ HGT</t>
  </si>
  <si>
    <t>Supervisor Manutenção</t>
  </si>
  <si>
    <t>Gerente de Suprimentos</t>
  </si>
  <si>
    <t>Total /  Mês</t>
  </si>
  <si>
    <t>SAMTRONIC INDUSTRIA E COMERCIO LTDA</t>
  </si>
  <si>
    <t>1000MEDIC</t>
  </si>
  <si>
    <t>JOHNSON</t>
  </si>
  <si>
    <t>CREMER</t>
  </si>
  <si>
    <t>LUVA PROCEDIMENTO MEDIA COM PÓ - CX/100UNID</t>
  </si>
  <si>
    <t>MEDIX</t>
  </si>
  <si>
    <t>LUVA PROCEDIMENTO PEQUENA COM PÓ - CX/100UNID</t>
  </si>
  <si>
    <t>MEDLEVENSOHN COMERCIO E REPRESENTACOES DE PRODUTOS HOSPITALARES LTDA</t>
  </si>
  <si>
    <t>Analista de TI</t>
  </si>
  <si>
    <t>BD</t>
  </si>
  <si>
    <t>Taxa de Cirurgias de Urgência por ASA</t>
  </si>
  <si>
    <t>Auxiliar Administrativo - ONCOLOGIA</t>
  </si>
  <si>
    <t>Especficação:</t>
  </si>
  <si>
    <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</si>
  <si>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</si>
  <si>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</si>
  <si>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t>Gerente Assistencial</t>
  </si>
  <si>
    <t>Gerente Enfernagem</t>
  </si>
  <si>
    <t>Auxiliar Administrativo (agendamento)</t>
  </si>
  <si>
    <t>Auxiliar Administrativo</t>
  </si>
  <si>
    <t>MAIO</t>
  </si>
  <si>
    <t>SÃO MIGUEL DO OESTE, 15 DE JUNHO DE 2025.</t>
  </si>
  <si>
    <t>BIOMÉDICO</t>
  </si>
  <si>
    <t xml:space="preserve">AGULHA HUBER C/ DISPOSITIVO DE SEGURANÇA E LINHA DE INFUSAO 20Gx15mm P/ PUNÇÃO DE CATETER TOTALMENTE IMPLANTAVEL </t>
  </si>
  <si>
    <t>LABORATORIOS B BRAUN SA</t>
  </si>
  <si>
    <t>AGULHA HUBER C/ DISPOSITIVO DE SEGURANÇA E LINHA DE INFUSAO 20Gx20mm P/ PUNÇÃO DE CATETER TOTALMENTE IMPLANTAVEL</t>
  </si>
  <si>
    <t>AGULHA PARA ANESTESIA DE PLEXO REVESTIDA DE TEFLON</t>
  </si>
  <si>
    <t xml:space="preserve">BOMBA DE INFUSÃO ELASTOMERICA PORTATIL P/ TERAPIA DE INFUSÃO A CURTO E LONGO PRAZO CAPACIDADE P/ 270ML-5mL/hora- DESCARTÁVEL C/ POCHETE </t>
  </si>
  <si>
    <t xml:space="preserve">CAMPO OPERATORIO ESTRELA 45X50 35G C/ FIO RADIOPACO - PCT C/50UN - NÃO ESTÉRIL </t>
  </si>
  <si>
    <t>CANETA MONOPOLAR P/ ELETROCAUTÉRIO CONTROLE MANUAL - DESCARTÁVEL</t>
  </si>
  <si>
    <t>DBI COMÉRCIO E IMPORTAÇÃO LTDA</t>
  </si>
  <si>
    <t>CAPILAR - DIALISADOR P/ HEMODIALISE DE BAIXO FLUXO - SUPERFICIE EFETIVA (m²) 1.8 - HPS F8</t>
  </si>
  <si>
    <t>FRESENIUS MEDICAL CARE LTDA</t>
  </si>
  <si>
    <t>CATETER DUPLO LUMEN 16X16 20CM (7F)</t>
  </si>
  <si>
    <t>BIOMEDICAL EQUIPAMENTOS E PROD MEDICO-CIRURGICOS LTDA</t>
  </si>
  <si>
    <t>CATETER INTRAV. PERIF. Nº 20 C/ DISP. DE SEGURANÇA</t>
  </si>
  <si>
    <t>QR CONSULTING, IMPORTACAO E DISTRIBUICAO</t>
  </si>
  <si>
    <t>CATETER INTRAV. PERIF. Nº 22 C/ DISP. DE SEGURANÇA</t>
  </si>
  <si>
    <t>CATETER TOTALMENTE IMPLANTÁVEL DE 8.5 FR X 80CM PARA INFUSÃO DE QUIMIOTERÁPICOS</t>
  </si>
  <si>
    <t>CONJUNTO DE LINHAS DE SANGUE (ARTERIAL + VENOSA) DE USO ÚNICO PARA HEMODIÁLISE C/ EQUIPO DE SORO E ISOLADOR (FRESENIUS)</t>
  </si>
  <si>
    <t>CURATIVO DE HIDROFIBRA 15X15CM COM PRATA IONICA</t>
  </si>
  <si>
    <t xml:space="preserve">ELETRODO DESC. ADULTO 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</si>
  <si>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</si>
  <si>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</si>
  <si>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DESCARPACK</t>
  </si>
  <si>
    <t>03.10.01.003-9 - PARTO NORMAL</t>
  </si>
  <si>
    <t>04.08.02.044-0 - TRATAMENTO CIRÚRGICO DE FRATURA LESÃO FISARIA DOS OSSOS DO ANTEBRAÇO</t>
  </si>
  <si>
    <t>04.08.05.050-0 - TRATAMENTO CIRÚRGICO DE FRATURA DA DIÁFISE DA TÍBIA</t>
  </si>
  <si>
    <t>04.08.05.051-9 - TRATAMENTO CIRÚRGICO DE FRATURA DA DIÁFISE DO FÊMUR</t>
  </si>
  <si>
    <t>04.11.01.003-4 - PARTO CESARIANO</t>
  </si>
  <si>
    <t>04.09.06.013-5 - HISTERECTOMIA TOTAL</t>
  </si>
  <si>
    <t>04.16.09.013-3 - RESSECCAO DE TUMOR DE PARTES MOLES EM ONCOLOGIA</t>
  </si>
  <si>
    <t>04.16.12.002-4 - MASTECTOMIA RADICAL COM LINFADENECTOMIA AXILAR EM ONCOLOGIA</t>
  </si>
  <si>
    <t>04.16.04.012-8 - DUODENOPANCREATECTOMIA EM ONCOLOGIA</t>
  </si>
  <si>
    <t>04.07.01.016-5 - GASTROENTEROANASTOMOSE</t>
  </si>
  <si>
    <t>04.08.06.036-0 - RETIRADA DE FIXADOR EXTERNO</t>
  </si>
  <si>
    <t>04.16.02.024-0 - LINFADENECTOMIA SELETIVA GUIADA (LINFONODO SENTINELA) EM ONCOLOGIA</t>
  </si>
  <si>
    <t>04.03.01.009-8 - DERIVAÇÃO VENTRICULAR EXTERNAR-SUBGALEAL EXTERNA</t>
  </si>
  <si>
    <t>04.03.01.012-8 - MICROCIRURGIA CEREBRAL ENDOSCOPICA</t>
  </si>
  <si>
    <t>04.03.01.018-7 - REVISÃO DE DERIVAÇÃO VENTRICULAR PARA PERITÔNEO / ÁTRIO / PLEURA / RAQUE</t>
  </si>
  <si>
    <t>04.03.03.004-8 - CRANIOTOMIA PARA RETIRADA DE TUMOR INTRACRANIANO</t>
  </si>
  <si>
    <t>04.03.01.001-2 - CRANIOPLASTIA</t>
  </si>
  <si>
    <t>04.03.03.014-5 - MICROCIRURGIA PARA TUMOR INTRACRANIANO</t>
  </si>
  <si>
    <t>04.16.08.001-4 - EXCISÂO E ENXERTO DE PELE EM ONCOLOGIA</t>
  </si>
  <si>
    <t>04.06.02.028-0 - LINFADENECTOMIA RETROPERITONIAL</t>
  </si>
  <si>
    <t>04.08.05.063-2 - TRATAMENTO CIRÚRGICO DE FRATURA TRANSTROCANTERIANA</t>
  </si>
  <si>
    <t>04.08.02.034-2 - TRATAMENTO CIRÚRGICO DE FRATURA / LESÃO FISARIA DAS FALANGES DA MÃO (COM FIXAÇÃO)</t>
  </si>
  <si>
    <t>04.08.02.037-7 - TRATAMENTO CIRÚRGICO DE FRATURA / LESÃO FISARIA DOS METACARPIANOS</t>
  </si>
  <si>
    <t>04.08.02.040-7 - TRATAMENTO CIRÚRGICO DE FRATURA DA EXTREMIDADE / METÁFISE DISTAL DOS OSSOS DO ANTEBRAÇO</t>
  </si>
  <si>
    <t>04.08.02.042-3 - TRATAMENTO CIRÚRGICO DE FRATURA DIAFISARIA DE AMBOS OS OSSOS DO ANTEBRAÇO (C/ SINTESE)</t>
  </si>
  <si>
    <t>04.08.06.047-6 - TENOPLASTIA OU ENXERTO DE TENDÃO UNICO</t>
  </si>
  <si>
    <t>04.08.06.048-4 - TENORRAFIA ÚNICA EM TÚNEL OSTEO-FIBROSO</t>
  </si>
  <si>
    <t>04.06.02.057-4 - TRATAMENTO CIRÚRGICO DE VARIZES (UNILATERAL)</t>
  </si>
  <si>
    <t>04.07.01.027-0 - TRATAMENTO CIRÚRGICO DE ACALASIA (CARDIOMIOPLASTIA)</t>
  </si>
  <si>
    <t>04.07.02.020-9 - ENTEROTOMIA E/OU ENTERORRAFIA C/ SUTURA / RESSECÇÃO (QUALQUER SEGMENTO)</t>
  </si>
  <si>
    <t>04.07.03.002-6 - COLECISTECTOMIA</t>
  </si>
  <si>
    <t>04.16.04.020-9 - LAPAROTOMIA EXPLORADORA COM RESSECÇÃO COMPLETA OU INCOMPLETA DO TUMOR EM ONCOLOGIA</t>
  </si>
  <si>
    <t>04.07.04.018-8 - LIBERAÇÃO DE ADERÊNCIAS INTESTINAIS</t>
  </si>
  <si>
    <t>04.07.03.001-8 - ANASTOMOSE BILEO-DIGESTIVA</t>
  </si>
  <si>
    <t>02.04.05.002-2 - COLANGIOGRAFIA PER-OPERATORIA</t>
  </si>
  <si>
    <t>04.04.03.005-0 - COLEDOCOPLASTIA</t>
  </si>
  <si>
    <t>04.07.03.006-9 - COLEDOCOTOMIA COM OU SEM COLECISTECTOMIA</t>
  </si>
  <si>
    <t>04.07.04.025-0 - TRATAMENTO CIRÚRGICO DE PERITONITE</t>
  </si>
  <si>
    <t>04.01.01.003-1 - DRENAGEM DE ABSCESSO</t>
  </si>
  <si>
    <t>04.09.03.002-3 - PROSTATECTOMIA SUPRAPÚBICA</t>
  </si>
  <si>
    <t>07.02.04.015-0 - CATETER VENOSO CENTRAL DUPLO LUMEN</t>
  </si>
  <si>
    <t>04.02.01.005-1 - TIREOIDECTOMIA TOTAL COM ESVAZIAMENTO GANGLIONAR</t>
  </si>
  <si>
    <t>04.16.06.012-9 - LAPAROTOMIA PARA AVALIAÇÃO DE TUMOR DE OVÁRIO EM ONCOLOGIA</t>
  </si>
  <si>
    <t>04.09.06.021-6 - OOFORECTOMIA / OOFOROPLASTIA</t>
  </si>
  <si>
    <t>04.09.06.023-2 - SALPINGECTOMIA UNI / BILATERAL</t>
  </si>
  <si>
    <t>04.07.02.004-7 - APENDICECTOMIA VIDEOLAPAROSCÓPICA</t>
  </si>
  <si>
    <t>04.07.02.006-3 -  COLECTOMIA PARCIAL (HEMICOLECTOMIA)</t>
  </si>
  <si>
    <t>04.07.04.001-3 - DRENAGEM DE ABSCESSO PÉLVICO</t>
  </si>
  <si>
    <t>04.07.04.002-1 - DRENAGEM DE ABSCESSO SUBFRÊNICO</t>
  </si>
  <si>
    <t xml:space="preserve">04.07.02.010-1 - COLOSTOMIA </t>
  </si>
  <si>
    <t>04.08.02.057-1 - TRATAMENTO CIRÚRGICO DE PSEUDARTROSE / RETARDO DE CONSOLIDAÇÃO / PERDA ÓSSEA DO ÚMERO</t>
  </si>
  <si>
    <t>04.16.01.013-0 - PROSTATOVESICULECTOMIA RADICAL EM ONCOLOGIA</t>
  </si>
  <si>
    <t>04.06.02.019-1 - LINFADENECTOMIA PÉLVICA</t>
  </si>
  <si>
    <t>04.07.02.018-7 - ENTEROANASTOMOSE (QUALQUER SEGMENTO)</t>
  </si>
  <si>
    <t>04.16.04.020-9 - BIOPSIAS MULTIPLAS INTRA-ABDOMINAIS EM ONCOLOGIA</t>
  </si>
  <si>
    <t>04.16.02.022-4 - LINFADENECTOMIA RETROPERITONIAL EM ONCOLOGIA</t>
  </si>
  <si>
    <t>04.16.04.021-7 - GASTRECTOMIA PARCIAL EM ONCOLOGIA</t>
  </si>
  <si>
    <t>04.08.01.015-0 - TRATAMENTO CIRÚRGICO DE FRATURA DA CLAVÍCULA</t>
  </si>
  <si>
    <t>04.08.02.039-3 - TRATAMENTO CIRÚGICO DE FRATURA DA DIÁFISE DO ÚMERO</t>
  </si>
  <si>
    <t>04.08.05.055-1 - TRATAMENTO CIRÚRGICO DE FRATURA DO PLANALTO TIBIAL</t>
  </si>
  <si>
    <t>04.07.03.003-4 - COLECISTECTOMIA  VIDEOLAPAROSCÓPICA</t>
  </si>
  <si>
    <t xml:space="preserve">	04.08.01.022-3 - TRATAMENTO CIRÚRGICO DE RETARDO DE CONSOLIDAÇÃO DA PSEUDARTROSE DE CLAVICULA / ESCAPULA</t>
  </si>
  <si>
    <t>04.08.02.007-5 - ARTROPLASTIA TOTAL DE COTOVELO</t>
  </si>
  <si>
    <t>04.16.05.002-6 - COLECTOMIA PARCIAL (HEMICOLECTOMIA) EM ONCOLOGIA</t>
  </si>
  <si>
    <t>04.07.03.012-3 - ESPLENECTOMIA</t>
  </si>
  <si>
    <t>04.08.04.008-4 - ARTROPLASTIA TOTAL PRIMÁRIA DO QUADRIL CIMENTADA</t>
  </si>
  <si>
    <t>04.07.02.024-1 - FECHAMENTO DE ENTEROSTOMIA (QUALQUER SEGMENTO)</t>
  </si>
  <si>
    <t>04.07.02.017-9 - ENTERECTOMIA</t>
  </si>
  <si>
    <t>04.03.01.010-1 - DERIVAÇÃO VENTRICULAR PARA PERITÔNEO / ÁTRIO / PLEURA / RAQUE</t>
  </si>
  <si>
    <t>04.15.04.003-5 - DEBRIDAMENTO DE ULCERA  / DE TECIDOS DESVITALIZADOS</t>
  </si>
  <si>
    <t>04.09.06.004-6 - CURETAGEM SEMIOTICA C/ OU S/ DILATACAO DO COLO DO UTERO</t>
  </si>
  <si>
    <t>04.16.02.023-2 - LINFADENECTOMIA INGUINAL UNILATERAL EM ONCOLOGIA</t>
  </si>
  <si>
    <t>04.08.05.062-4 - TRATAMENTO CIRÚRGICO DE FRATURA SUPRACONDILEANA DO FÊMUR (METÁFISE DISTAL)</t>
  </si>
  <si>
    <t>04.07.04.016-1 - LAPAROTOMIA EXPLORADORA</t>
  </si>
  <si>
    <t>04.07.01.019-0 - GASTRORRAFIA</t>
  </si>
  <si>
    <t>02.01.01.026-7 - BIOPSIA DE LESAO DE PARTES MOLES (POR AGULHA / CEU ABERTO)</t>
  </si>
  <si>
    <t>02.01.01.033-0 - BIOPSIA DE OSSO / CARTILAGEM DE MEMBRO SUPERIOR (POR AGULHA / CEU ABERTO)</t>
  </si>
  <si>
    <t>02.09.01.004-5 - LAPAROSCOPIA</t>
  </si>
  <si>
    <t>02.09.01.006-1 - VIDEOLAPAROSCOPIA</t>
  </si>
  <si>
    <t>02.09.02.001-6 - CISTOSCOPIA E/OU URETEROSCOPIA E/OU URETROSCOPIA</t>
  </si>
  <si>
    <t xml:space="preserve">02.09.04.001-7 - BRONCOSCOPIA (BRONCOFIBROSCOPIA) </t>
  </si>
  <si>
    <t>04.01.01.005-8 - EXCISAO DE LESAO E/OU SUTURA DE FERIMENTO DA PELE ANEXOS E MUCOSA</t>
  </si>
  <si>
    <t>04.01.01.006-6 - EXCISÃO E/OU SUTURA SIMPLES DE PEQUENAS LESÕES / FERIMENTOS DE PELE / ANEXOS E MUCOSA</t>
  </si>
  <si>
    <t>04.01.02.005-3 - EXCISÃO E SUTURA DE LESAO NA PELE C/ PLÁSTICA EM Z OU ROTAÇÃO DE RETALHO</t>
  </si>
  <si>
    <t>04.01.02.010-0 - EXTIRPAÇÃOE SUPRESSÃO DE LESÃO DE PELE E DE TECIDO CELULAR SUBCUTÂNEO</t>
  </si>
  <si>
    <t>04.02.01.004-3 TIREIOIDECTOMIA TOTAL</t>
  </si>
  <si>
    <t>04.03.01.002-0 - CRANIOTOMIA DESCOMPRESSIVA</t>
  </si>
  <si>
    <t>04.03.01.027-6 - TRATAMENTO CIRURGICO DE HEMATOMA EXTRADURAL</t>
  </si>
  <si>
    <t>04.03.01.030-6 - TRATAMENTO CIRURGICO DE HEMATOMA  SUBDURAL  AGUDO</t>
  </si>
  <si>
    <t>04.03.01.036-5 - TREPANAÇÃO CRANIANA PARA PUNÇÃO OU BIÓPSIA</t>
  </si>
  <si>
    <t>04.04.01.030-0 - RETIRADA DE CORPO ESTRANHO DA CAVIDADE AUDITIVA E NASAL</t>
  </si>
  <si>
    <t>04.04.01.037-7 - TRAQUEOSTOMIA</t>
  </si>
  <si>
    <t>04.04.01.039-3 - TRATAMENTO CIRURGICO DE PERICONDRITE DE PAVILHAO</t>
  </si>
  <si>
    <t>04.04.02.022-4 - RECONSTRUÇÃO TOTAL DE CAVIDADE ORBITÁRIA</t>
  </si>
  <si>
    <t>04.04.02.024-0 - RECONSTRUÇÃO TOTAL OU PARCIAL DE NARIZ</t>
  </si>
  <si>
    <t>04.04.02.046-1 - OSTEOTOMIA DA MANDIBULA</t>
  </si>
  <si>
    <t>04.04.02.050-0 - OSTEOSSÍNTESE DA FRATURA COMPLEXA DA MANDÍBULA</t>
  </si>
  <si>
    <t>04.04.02.054-2 - REDUÇÃO CIRÚRGICA DE FRATURA DOS OSSOS PRÓPRIOS DO NARIZ</t>
  </si>
  <si>
    <t>04.04.02.072-0 - OSTEOSSÍNTESE DE FRATURA BILATERAL DO CÔNDILO MANDIBULAR</t>
  </si>
  <si>
    <t>04.06.02.007-8 - IMPLANTAÇÃO DE CATETER DE LONGA PERMANÊNCIA SEMI OU TOTALMENTE IMPLANTAVEL (PROCEDIMENTO PRINCIPAL)</t>
  </si>
  <si>
    <t>04.06.02.008-6 - CONFECÇÃO DE FÍSTULA ARTERIOVENOSA P/ ACESSO</t>
  </si>
  <si>
    <t>04.06.02.051-5 - TRATAMENTO CIRÚRGICO DE LESÕES VASCULARES TRAUMÁTICAS DE MEMBRO INFERIOR UNILATERAL</t>
  </si>
  <si>
    <t>04.06.02.062-0 - RETIRADA DE CATETER DE LONGA PERMANÊNCIA SEMI OU TOTALMENTE IMPLANTÁVEL</t>
  </si>
  <si>
    <t>04.06.04.029-0 - TRATAMENTO DE EPISTAXE POR EMBOLIZAÇÃO (INCLUI ESTUDO ANGIOGRÁFICO E/OU ENDOSCÓPICO)</t>
  </si>
  <si>
    <t>04.07.01.031-9 - TRATAMENTO ESCLEROSANTE / LIGADURA ELÁSTICA DE LESÂO HEMORRÁGICA DO APARELHO DIGESTIVO</t>
  </si>
  <si>
    <t>04.07.02.003-9 -  APENDICECTOMIA</t>
  </si>
  <si>
    <t>04.07.02.027-6 - FISTULECTOMIA / FISTULOTOMIA ANAL</t>
  </si>
  <si>
    <t>04.07.02.030-6 - JEJUNOSTOMIA / ILEOSTOMIA</t>
  </si>
  <si>
    <t>04.07.02.035-7 - PROCTOPLASTIA E PROCTORRAFIA POR VIA PERINEAL</t>
  </si>
  <si>
    <t>04.07.04.008-0 - HERNIOPLASTIA INCISIONAL</t>
  </si>
  <si>
    <t>04.07.04.009-9 - HERNIOPLASTIA INGUINAL (BILATERAL)</t>
  </si>
  <si>
    <t>04.07.04.010-2 - HERNIOPLASTIA INGUINAL / CRURAL (UNILATERAL)</t>
  </si>
  <si>
    <t>04.07.04.012-9 - HERNIOPLASTIA UMBILICAL</t>
  </si>
  <si>
    <t>04.07.04.023-4 - RESSECÇÃO DO EPIPLOM</t>
  </si>
  <si>
    <t>04.08.01.013-4 - REDUCAO INCRUENTA DE LUXAÇÃO OU FRATURA / LUXAÇÃO ESCÁPULO-UMERAL</t>
  </si>
  <si>
    <t>04.08.01.018-5 - TRATAMENTO CIRURGICO DE LUXACAO / FRATURA-LUXACAO ACROMIO-CLAVICULAR</t>
  </si>
  <si>
    <t>04.08.02.020-2 - REDUÇÃO INCRUENTA DE FRATURA DIAFISARIA DOS OSSOS DO ANTEBRAÇO</t>
  </si>
  <si>
    <t>04.08.02.032-6 - TRATAMENTO CIRÚRGICO DE DEDO EM GATILHO</t>
  </si>
  <si>
    <t>04.08.02.033-4 - TRATAMENTO CIRÚRGICO DE FRATURA / LESÃO FISARIA DA EXTREMIDADE PROXIMAL DO UMERO</t>
  </si>
  <si>
    <t>04.08.02.036-9 - TRATAMENTO CIRÚRGICO DE FRATURA / LESÃO FISARIA DO CÔNDILO / TRÓCLEA/APOFISE CORONÓIDE DO ULNA / CABEÇA DO RÁDIO</t>
  </si>
  <si>
    <t>04.08.02.038-5 - TRATAMENTO CIRÚRGICO DE FRATURA / LESÃO FISARIA SUPRACONDILIANA DO ÚMERO</t>
  </si>
  <si>
    <t>04.08.02.041-5 - TRATAMENTO CIRÚRGICO DE FRATURA DE EXTREMIDADES / METÁFISE PROXIMAL DOS OSSOS DO ANTEBRAÇO</t>
  </si>
  <si>
    <t>04.08.02.043-1 - TRATAMENTO CIRÚRGICO DE FRATURA DIAFISARIA ÚNICA DO RÁDIO / DA ULNA</t>
  </si>
  <si>
    <t>04.08.02.053-9 - TRATAMENTO CIRÚRGICO DE LUXAÇÃO / FRATURA-LUXAÇÃO METACARPO-FALANGIANA</t>
  </si>
  <si>
    <t>04.08.02.054-7 - TRATAMENTO CIRÚRGICO DE LUXAÇÃO OU FRATURA-LUXAÇÃO DO COTOVELO</t>
  </si>
  <si>
    <t>04.08.04.002-5 - ARTRODESE DA SÍNFISE PÚBICA</t>
  </si>
  <si>
    <t>04.08.04.019-0 - REDUÇÃO INCRUENTA DE LUXAÇÃO COXOFEMORAL TRAUMÁTICA / PÓS-ARTROPLASTIA</t>
  </si>
  <si>
    <t>04.08.04.030-0 - TRATAMENTO CIRÚRGICO DE FRATURA DO SACRO</t>
  </si>
  <si>
    <t>04.08.05.001-2 - AMPUTACAO / DESARTICULACAO DE MEMBROS INFERIORES</t>
  </si>
  <si>
    <t>04.08.05.022-5 - REDUCAO INCRUENTA DE FRATURA DIAFISARIA / LESAO FISARIA DISTAL DA TIBIA C/ OU S/ FRATURA DA FIBULA</t>
  </si>
  <si>
    <t>04.08.05.023-3 - REDUCAO INCRUENTA DE FRATURA DIAFISARIA / LESAO FISARIA PROXIMAL DO FEMUR</t>
  </si>
  <si>
    <t>04.08.05.048-9 - TRATAMENTO CIRURGICO DE FRATURA / LESAO FISARIA PROXIMAL (COLO) DO FEMUR (SINTESE)</t>
  </si>
  <si>
    <t>04.08.05.049-7 - TRATAMENTO CIRÚRGICO DE FRATURA BIMALEOLAR / TRIMALEOLAR / DA FRATURA-LUXAÇÃO DO TORNOZELO</t>
  </si>
  <si>
    <t>04.08.05.052-7 - TRATAMENTO CIRÚRGICO DE FRATURA DA PATELA POR FIXAÇÃO INTERNA</t>
  </si>
  <si>
    <t>04.08.05.054-3 - TRATAMENTO CIRÚRGICO DE FRATURA DO PILÃO TIBIAL</t>
  </si>
  <si>
    <t>04.08.05.056-0 - TRATAMENTO CIRÚRGICO DE FRATURA DO TALUS</t>
  </si>
  <si>
    <t>04.08.05.057-8 - TRATAMENTO CIRÚRGICO DE FRATURA DO TORNOZELO UNIMALEOLAR</t>
  </si>
  <si>
    <t>04.08.05.069-1 - TRATAMENTO CIRÚRGICO DE LUXAÇÃO / FRATURA-LUXAÇÃO METATARSO-FALANGIANA / INTER-FALANGIANA</t>
  </si>
  <si>
    <t>04.08.06.004-2 -  AMPUTAÇÃO / DESARTICULAÇÃO DE DEDO</t>
  </si>
  <si>
    <t>04.08.06.033-6 - RETIRADA DE CORPO ESTRANHO INTRA-ÓSSEO</t>
  </si>
  <si>
    <t>04.08.06.035-2 - RETIRADA DE FIO OU PINO INTRA-ÓSSEO</t>
  </si>
  <si>
    <t>04.08.06.037-9 - RETIRADA DE PLACA E/OU PARAFUSOS</t>
  </si>
  <si>
    <t>04.08.06.045-0 - TENOMIORRAFIA</t>
  </si>
  <si>
    <t>04.08.06.055-7 - TRATAMENTO CIRÚRGICO DE ARTRITE INFECCIOSA (GRANDES E MÉDIAS ARTICULAÇÕES)</t>
  </si>
  <si>
    <t>04.09.01.017-0 - INSTALAÇÃO ENDOSCÓPICA DE CATETER DUPLO J</t>
  </si>
  <si>
    <t>04.09.01.029-4 - NEFROSTOMIA PERCUTÂNEA</t>
  </si>
  <si>
    <t>04.09.01.038-3 - RESSECCAO ENDOSCOPICA DE LESÃO VESICAL</t>
  </si>
  <si>
    <t>04.09.04.012-6 - ORQUIDOPEXIA BILATERAL</t>
  </si>
  <si>
    <t>04.09.04.014-2 - ORQUIECTOMIA SUBCAPSULAR BILATERAL</t>
  </si>
  <si>
    <t>04.09.04.021-5 - TRATAMENTO CIRÚRGICO DE HIDROCELE</t>
  </si>
  <si>
    <t>04.09.06.018-6 - LAQUEADURA TUBARIA</t>
  </si>
  <si>
    <t>04.09.06.031-3 - LAQUEADURA TUBÁRIA NA MESMA INTERNAÇÃO DE PARTO NORMA</t>
  </si>
  <si>
    <t>04.10.01.005-7 - MASTECTOMIA RADICAL C/ LINFADENECTOMIA</t>
  </si>
  <si>
    <t>04.10.01.007-3 - PLASTICA MAMÁRIA FEMININA NAO ESTETICA</t>
  </si>
  <si>
    <t>04.10.01.011-1 - SETORECTOMIA / QUADRANTECTOMIA</t>
  </si>
  <si>
    <t>04.11.01.004-2 - PARTO CESARIANO C/ LAQUEADURA TUBARIA</t>
  </si>
  <si>
    <t>04.11.02.001-3 - CURETAGEM POS-ABORTAMENTO / PUERPERAL</t>
  </si>
  <si>
    <t>04.12.04.016-6 - TORACOSTOMIA COM DRENAGEM PLEURAL FECHADA</t>
  </si>
  <si>
    <t>04.13.01.004-0 - CURATIVO EM MEDIO QUEIMADO</t>
  </si>
  <si>
    <t>04.15.01.001-2 - TRATAMENTO C/ CIRURGIAS MULTIPLAS</t>
  </si>
  <si>
    <t>04.15.04.002-7 - DEBRIDAMENTO DE FASCEITE NECROTIZANTE</t>
  </si>
  <si>
    <t>04.16.01.017-2 - RESSECÇÃO ENDOSCÓPICA DE TUMOR VESICAL EM ONCOLOGIA</t>
  </si>
  <si>
    <t>04.16.05.007-7 - RETOSSIGMOIDECTOMIA ABDOMINAL EM ONCOLOGIA</t>
  </si>
  <si>
    <t>04.16.06.008-0 - TRAQUELECTOMIA RADICAL EM ONCOLOGIA</t>
  </si>
  <si>
    <t>04.16.08.003-0 - EXCISÃO E SUTURA DE LESÃO NA PELE COM PLASTICA EM Z OU ROTAÇÃO DE RETALHO EM ONCOLOGIA</t>
  </si>
  <si>
    <t>04.16.08.008-1 - RECONSTRUÇÃO COM RETALHO MIOCUTÂNEO (QUALQUER PARTE) EM ONCOLOGIA</t>
  </si>
  <si>
    <t>04.16.08.012-0 - EXTIRPAÇÃO MÚLTIPLA DE LESÃO DA PELE OU TECIDO CELULAR SUBCUTÂNEO EM ONCOLOGIA</t>
  </si>
  <si>
    <t>04.16.12.005-9 - SEGMENTECTOMIA/QUADRANTECTOMIA/SETORECTOMIA DE MAMA EM ONCOLOGIA</t>
  </si>
  <si>
    <t>04.18.01.003-0 - CONFECCAO DE FISTULA ARTERIO-VENOSA P/ HEMODIALISE</t>
  </si>
  <si>
    <t>04.18.01.004-8 - IMPLANTE DE CATETER DE LONGA PERMANÊNCIA P/ HEMODIALISE</t>
  </si>
  <si>
    <t>04.18.01.006-4 - IMPLANTE DE CATETER DUPLO LUMEN P/HEMODIALISE</t>
  </si>
  <si>
    <t>04.18.02.002-7 - LIGADURA DE FISTULA ARTERIO-VENOSA</t>
  </si>
  <si>
    <t>04.18.02.003-5 - RETIRADA DE CATETER TIPO TENCKHOFF / SIMILAR DE LONGA PERMANÊNCIA</t>
  </si>
  <si>
    <t>ALBUMINA HUMANA 20% 50ML</t>
  </si>
  <si>
    <t xml:space="preserve">ALFAPORACTANTO 80MG/ML-3ML </t>
  </si>
  <si>
    <t>CUROSURF</t>
  </si>
  <si>
    <t>CHIESI FARMACEUTICA LTDA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</si>
  <si>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</si>
  <si>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</si>
  <si>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</si>
  <si>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</si>
  <si>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GENÉRICO</t>
  </si>
  <si>
    <t>FRESENIUS KABI BRASIL LTDA.</t>
  </si>
  <si>
    <t>CAPECITABINA  500mg - VO</t>
  </si>
  <si>
    <t xml:space="preserve">CORETAL </t>
  </si>
  <si>
    <t>EUROFARMA LABORATORIOS S.A. FILIAL 8</t>
  </si>
  <si>
    <t>CeFAZolina 1G ( IV / IM ) AMP</t>
  </si>
  <si>
    <t>ABL.ANTIBIOTICOS DO BRASIL LTDA</t>
  </si>
  <si>
    <t>CETamina 50MG/ML AMP 10ML ( IV / IM )</t>
  </si>
  <si>
    <t>KETAMIN</t>
  </si>
  <si>
    <t>CRISTALIA PRODUTOS QUIMICOS FARMACEUTICOS LTDA</t>
  </si>
  <si>
    <t xml:space="preserve">CETAMINA 50MG/ML AMP 2ML ( IV / IM ) </t>
  </si>
  <si>
    <t>KETAMIN NP</t>
  </si>
  <si>
    <t>CETOPROFENO 100MG/100ML (PRONTO USO)</t>
  </si>
  <si>
    <t>AXIFLENNID</t>
  </si>
  <si>
    <t>HALEXISTAR INDUSTRIA FARMACEUTICA LTDA</t>
  </si>
  <si>
    <t>CIPROfloxacino 2MG/ML FR. 100ML ( IV )</t>
  </si>
  <si>
    <t>PRATI, DONADUZZI &amp; CIA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</si>
  <si>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</si>
  <si>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</si>
  <si>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</si>
  <si>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DIETA ENTERAL ESPECIALIZADA COM ALTO TEOR CALÓRICO E PROTEICO 2KCAL/ML + 0,1G DE PROTEINA/ML - 500ML</t>
  </si>
  <si>
    <t>FRESUBIN HP 2KCAL</t>
  </si>
  <si>
    <t>DIETA ENTERAL ESPECIALIZADA OLIGOMERICA 1.3KCAL + 0,067G DE PROTEINA/ML - 500ML</t>
  </si>
  <si>
    <t>OPD SURVIMED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</si>
  <si>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</si>
  <si>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</si>
  <si>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</si>
  <si>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</si>
  <si>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DIETA PARENTERAL ACESSO CENTRAL – 1070KCAL/L +  56.9G DE AMINOACIDOS + 80% OLEO DE OLIVA - 1000ML</t>
  </si>
  <si>
    <t>DIETA PARENTERAL ACESSO CENTRAL –1140KCAL/L +  88.6G DE AMINOACIDOS + 80% OLEO DE OLIVA - 2000ML</t>
  </si>
  <si>
    <t>DIPIRONA 500MG/ML AMP. 2ML ( IV / IM )</t>
  </si>
  <si>
    <t>DIPIFARMA</t>
  </si>
  <si>
    <t>FARMACE - INDUSTRIA QUIMICO-FARMACEUTICA CEARENSE LTDA</t>
  </si>
  <si>
    <t>ENOXAparina 40MG/0,4ML SER. ( IV / SC )</t>
  </si>
  <si>
    <t>HEPTRIS</t>
  </si>
  <si>
    <t>VIATRIS FARMACEUTICA DO BRASIL LTDA</t>
  </si>
  <si>
    <t>ENOXAparina 60MG/0,6ML SER ( IV / SC )</t>
  </si>
  <si>
    <t>HEPARINOX</t>
  </si>
  <si>
    <t>FentaNILA 0,05MG/ML AMP. 10ML ( IV / IM )</t>
  </si>
  <si>
    <t>UNIFENTAL</t>
  </si>
  <si>
    <t>UNIAO QUIMICA FARMACEUTICA NACIONAL S A - FILIAL 9</t>
  </si>
  <si>
    <t>FILGRASTIM 300MCG/0,5ml - SC SERINGA (PRONTO PRA USO)</t>
  </si>
  <si>
    <t>FIPRIMA</t>
  </si>
  <si>
    <t>FLUORURACILA  2500MG/50ML – EV</t>
  </si>
  <si>
    <t xml:space="preserve">FAULDFLUOR </t>
  </si>
  <si>
    <t>LIBBS FARMACEUTICA LTDA</t>
  </si>
  <si>
    <t>GENCITABINA 1000MG – EV</t>
  </si>
  <si>
    <t>GCIB</t>
  </si>
  <si>
    <t>HEPArina 5.000UI/0,25ML AMP. 0,25ML ( SC )</t>
  </si>
  <si>
    <t>PARINEX</t>
  </si>
  <si>
    <t>HIPOLABOR FARMACEUTICA LTDA</t>
  </si>
  <si>
    <t>IRINOTECANO 100MG/5ML - EV</t>
  </si>
  <si>
    <t>GENERICO</t>
  </si>
  <si>
    <t>LEUCOVORIN (FOLINATO DE CÁLCIO) 300MG/30ML</t>
  </si>
  <si>
    <t xml:space="preserve">LEUPRORRELINA 22,5MG SC - SERINGA C/ PÓ LIÓFILO E SERINGA C/ DILUENTE </t>
  </si>
  <si>
    <t>ELIGARD</t>
  </si>
  <si>
    <t>ZODIAC-PRODUTOS FARMACEUTICOS S.A.</t>
  </si>
  <si>
    <t>MEROPENEM 1G AMP. ( IV )</t>
  </si>
  <si>
    <t>MIDAzolam 5MG/ML AMP. 10ML ( IV / IM / RETAL )</t>
  </si>
  <si>
    <t>LABORATORIO TEUTO BRASILEIRO S/A</t>
  </si>
  <si>
    <t>NOREPinefrina 1MG/ML AMP. 4ML (IV )</t>
  </si>
  <si>
    <t>OCTREOTIDA 0,1MG/ML</t>
  </si>
  <si>
    <t>OCTRIDE 100</t>
  </si>
  <si>
    <t>SUN FARMACEUTICA DO BRASIL LTDA</t>
  </si>
  <si>
    <t>OMEPRAZOL 40MG FR. ( IV )</t>
  </si>
  <si>
    <t>UNIPRAZOL</t>
  </si>
  <si>
    <t>OXALiplatina 100MG/20ML - EV</t>
  </si>
  <si>
    <t>BLAU FARMACEUTICA S.A.</t>
  </si>
  <si>
    <t>PACLITAXEL 300MG/50ML - EV</t>
  </si>
  <si>
    <t>ACCORD FARMACEUTICA LTDA</t>
  </si>
  <si>
    <t>PIPERACILINA 4G + TAZOBACTAM 0,5G AMP. ( IV )</t>
  </si>
  <si>
    <t>PROPOfol 10MG/ML 20ML ( IV ) AMP</t>
  </si>
  <si>
    <t>PROPOVAN</t>
  </si>
  <si>
    <t>ROCUrônio 10MG/ML 5ML</t>
  </si>
  <si>
    <t>UNIREZ</t>
  </si>
  <si>
    <t>SEVOflurano 250ML FR</t>
  </si>
  <si>
    <t>SEVOCRIS</t>
  </si>
  <si>
    <t>SOLUÇÃO FISIOLOGICA 0,9% 1000ML</t>
  </si>
  <si>
    <t>SOLUÇÃO FISIOLOGICA 0,9% 100ML</t>
  </si>
  <si>
    <t>SOLUÇÃO FISIOLOGICA 0,9% 250ML</t>
  </si>
  <si>
    <t>EQUIPLEX INDUSTRIA FARMACEUTICA LTDA -</t>
  </si>
  <si>
    <t>SOLUÇÃO FISIOLOGICA 0,9% 500ML</t>
  </si>
  <si>
    <t>SOLUÇÃO GLICOSE 5% 250ML</t>
  </si>
  <si>
    <t>SOLUÇÃO GLICOSE 5% 500ML</t>
  </si>
  <si>
    <t>FARMARININDÚTRIA E COMÉRCIO LTDA.</t>
  </si>
  <si>
    <t>VANCOmicina 500MG AMP. ( IV )</t>
  </si>
  <si>
    <t xml:space="preserve">* Otorrino adulto: Os três pacientes que realizaram, são oirundos de reagendamentos de meses anteriores.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</si>
</sst>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43" fontId="42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19" fillId="0" borderId="0"/>
    <xf numFmtId="9" fontId="42" fillId="0" borderId="0" applyFont="0" applyFill="0" applyBorder="0" applyAlignment="0" applyProtection="0"/>
    <xf numFmtId="0" fontId="19" fillId="14" borderId="47" applyNumberFormat="0" applyFont="0" applyAlignment="0" applyProtection="0"/>
    <xf numFmtId="43" fontId="19" fillId="0" borderId="0" applyFont="0" applyFill="0" applyBorder="0" applyAlignment="0" applyProtection="0"/>
    <xf numFmtId="0" fontId="45" fillId="0" borderId="0"/>
  </cellStyleXfs>
  <cellXfs count="676">
    <xf numFmtId="0" fontId="0" fillId="0" borderId="0" xfId="0"/>
    <xf numFmtId="0" fontId="0" fillId="0" borderId="0" xfId="0" applyProtection="1">
      <protection locked="0"/>
    </xf>
    <xf numFmtId="0" fontId="6" fillId="0" borderId="0" xfId="3" applyFont="1" applyAlignment="1" applyProtection="1">
      <alignment horizontal="center" vertical="center"/>
      <protection locked="0"/>
    </xf>
    <xf numFmtId="165" fontId="6" fillId="0" borderId="0" xfId="1" applyNumberFormat="1" applyFont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164" fontId="4" fillId="4" borderId="9" xfId="1" applyNumberFormat="1" applyFont="1" applyFill="1" applyBorder="1" applyAlignment="1" applyProtection="1">
      <alignment horizontal="center" vertical="center"/>
      <protection locked="0"/>
    </xf>
    <xf numFmtId="164" fontId="4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6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3" fillId="0" borderId="3" xfId="0" applyFont="1" applyBorder="1" applyAlignment="1">
      <alignment horizontal="right" vertical="center"/>
    </xf>
    <xf numFmtId="49" fontId="11" fillId="0" borderId="25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64" fontId="11" fillId="0" borderId="14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right" wrapText="1"/>
      <protection locked="0"/>
    </xf>
    <xf numFmtId="0" fontId="15" fillId="0" borderId="10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center" wrapText="1"/>
      <protection locked="0"/>
    </xf>
    <xf numFmtId="0" fontId="15" fillId="0" borderId="11" xfId="0" applyFont="1" applyBorder="1" applyAlignment="1" applyProtection="1">
      <alignment horizontal="right" wrapText="1"/>
      <protection locked="0"/>
    </xf>
    <xf numFmtId="0" fontId="7" fillId="0" borderId="3" xfId="0" applyFont="1" applyBorder="1" applyAlignment="1" applyProtection="1">
      <alignment horizontal="right" wrapText="1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3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vertical="center" wrapText="1"/>
    </xf>
    <xf numFmtId="3" fontId="15" fillId="0" borderId="21" xfId="0" applyNumberFormat="1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wrapText="1"/>
      <protection locked="0"/>
    </xf>
    <xf numFmtId="0" fontId="15" fillId="8" borderId="0" xfId="0" applyFont="1" applyFill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5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>
      <alignment vertical="center"/>
    </xf>
    <xf numFmtId="3" fontId="15" fillId="9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3" fontId="15" fillId="8" borderId="2" xfId="0" applyNumberFormat="1" applyFont="1" applyFill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vertical="center" wrapText="1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center" wrapText="1"/>
      <protection locked="0"/>
    </xf>
    <xf numFmtId="0" fontId="15" fillId="0" borderId="19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15" fillId="0" borderId="3" xfId="0" applyFont="1" applyBorder="1" applyAlignment="1" applyProtection="1">
      <alignment horizontal="right" wrapText="1"/>
      <protection locked="0"/>
    </xf>
    <xf numFmtId="3" fontId="15" fillId="8" borderId="2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/>
    </xf>
    <xf numFmtId="0" fontId="9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1" xfId="0" applyFont="1" applyBorder="1" applyAlignment="1" applyProtection="1">
      <alignment wrapText="1"/>
      <protection locked="0"/>
    </xf>
    <xf numFmtId="0" fontId="15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 applyProtection="1">
      <alignment horizontal="right" wrapText="1"/>
      <protection locked="0"/>
    </xf>
    <xf numFmtId="0" fontId="7" fillId="8" borderId="4" xfId="0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wrapText="1"/>
      <protection locked="0"/>
    </xf>
    <xf numFmtId="0" fontId="15" fillId="0" borderId="4" xfId="0" applyFont="1" applyBorder="1" applyAlignment="1">
      <alignment vertical="center" wrapText="1"/>
    </xf>
    <xf numFmtId="0" fontId="15" fillId="0" borderId="20" xfId="0" applyFont="1" applyBorder="1" applyAlignment="1" applyProtection="1">
      <alignment wrapText="1"/>
      <protection locked="0"/>
    </xf>
    <xf numFmtId="0" fontId="15" fillId="0" borderId="36" xfId="0" applyFont="1" applyBorder="1" applyAlignment="1" applyProtection="1">
      <alignment horizontal="center" wrapText="1"/>
      <protection locked="0"/>
    </xf>
    <xf numFmtId="0" fontId="15" fillId="0" borderId="36" xfId="0" applyFont="1" applyBorder="1" applyAlignment="1" applyProtection="1">
      <alignment horizontal="right" wrapText="1"/>
      <protection locked="0"/>
    </xf>
    <xf numFmtId="0" fontId="15" fillId="0" borderId="23" xfId="0" applyFont="1" applyBorder="1" applyAlignment="1" applyProtection="1">
      <alignment horizontal="center" wrapText="1"/>
      <protection locked="0"/>
    </xf>
    <xf numFmtId="0" fontId="7" fillId="8" borderId="23" xfId="0" applyFont="1" applyFill="1" applyBorder="1" applyAlignment="1">
      <alignment horizontal="center" wrapText="1"/>
    </xf>
    <xf numFmtId="0" fontId="15" fillId="0" borderId="36" xfId="0" applyFont="1" applyBorder="1" applyAlignment="1" applyProtection="1">
      <alignment wrapText="1"/>
      <protection locked="0"/>
    </xf>
    <xf numFmtId="0" fontId="15" fillId="0" borderId="21" xfId="0" applyFont="1" applyBorder="1" applyAlignment="1" applyProtection="1">
      <alignment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right" vertical="center"/>
    </xf>
    <xf numFmtId="0" fontId="7" fillId="0" borderId="3" xfId="0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164" fontId="15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5" fillId="0" borderId="0" xfId="0" applyNumberFormat="1" applyFont="1" applyAlignment="1">
      <alignment horizontal="righ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7" fillId="7" borderId="3" xfId="0" applyFont="1" applyFill="1" applyBorder="1" applyAlignment="1">
      <alignment vertical="center" wrapText="1"/>
    </xf>
    <xf numFmtId="0" fontId="17" fillId="9" borderId="0" xfId="0" applyFont="1" applyFill="1" applyAlignment="1" applyProtection="1">
      <alignment horizontal="center" vertical="center"/>
      <protection locked="0"/>
    </xf>
    <xf numFmtId="0" fontId="17" fillId="7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10" fontId="17" fillId="10" borderId="0" xfId="4" applyNumberFormat="1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left" vertical="center"/>
    </xf>
    <xf numFmtId="10" fontId="16" fillId="9" borderId="36" xfId="4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 wrapText="1"/>
    </xf>
    <xf numFmtId="10" fontId="17" fillId="10" borderId="13" xfId="4" applyNumberFormat="1" applyFont="1" applyFill="1" applyBorder="1" applyAlignment="1">
      <alignment horizontal="center" vertical="center"/>
    </xf>
    <xf numFmtId="10" fontId="17" fillId="9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9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right" vertical="center"/>
      <protection locked="0"/>
    </xf>
    <xf numFmtId="0" fontId="9" fillId="0" borderId="13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3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15" fillId="0" borderId="6" xfId="0" applyNumberFormat="1" applyFont="1" applyBorder="1" applyAlignment="1" applyProtection="1">
      <alignment horizontal="center" vertical="center"/>
      <protection locked="0"/>
    </xf>
    <xf numFmtId="3" fontId="15" fillId="0" borderId="14" xfId="0" applyNumberFormat="1" applyFont="1" applyBorder="1" applyAlignment="1" applyProtection="1">
      <alignment horizontal="center" vertical="center"/>
      <protection locked="0"/>
    </xf>
    <xf numFmtId="3" fontId="15" fillId="0" borderId="3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right" vertical="center"/>
      <protection locked="0"/>
    </xf>
    <xf numFmtId="3" fontId="9" fillId="0" borderId="13" xfId="0" applyNumberFormat="1" applyFont="1" applyBorder="1" applyAlignment="1" applyProtection="1">
      <alignment horizontal="right" vertical="center"/>
      <protection locked="0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right" vertical="center"/>
      <protection locked="0"/>
    </xf>
    <xf numFmtId="2" fontId="15" fillId="8" borderId="39" xfId="0" applyNumberFormat="1" applyFont="1" applyFill="1" applyBorder="1" applyAlignment="1">
      <alignment horizontal="center" vertical="center" wrapText="1"/>
    </xf>
    <xf numFmtId="2" fontId="15" fillId="8" borderId="2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8" borderId="11" xfId="0" applyNumberFormat="1" applyFill="1" applyBorder="1" applyAlignment="1">
      <alignment horizontal="center" vertical="center"/>
    </xf>
    <xf numFmtId="10" fontId="0" fillId="8" borderId="0" xfId="0" applyNumberFormat="1" applyFill="1" applyAlignment="1">
      <alignment horizontal="center" vertical="center"/>
    </xf>
    <xf numFmtId="3" fontId="0" fillId="9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9" borderId="21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9" fillId="11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8" borderId="26" xfId="0" applyNumberFormat="1" applyFill="1" applyBorder="1" applyAlignment="1">
      <alignment horizontal="center" vertical="center"/>
    </xf>
    <xf numFmtId="3" fontId="8" fillId="8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8" borderId="21" xfId="0" applyNumberForma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8" borderId="36" xfId="0" applyNumberFormat="1" applyFill="1" applyBorder="1" applyAlignment="1">
      <alignment horizontal="center" vertical="center"/>
    </xf>
    <xf numFmtId="3" fontId="0" fillId="8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8" borderId="12" xfId="0" applyNumberFormat="1" applyFill="1" applyBorder="1" applyAlignment="1">
      <alignment horizontal="center" vertical="center"/>
    </xf>
    <xf numFmtId="10" fontId="0" fillId="8" borderId="13" xfId="0" applyNumberForma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 wrapText="1"/>
    </xf>
    <xf numFmtId="10" fontId="0" fillId="8" borderId="2" xfId="0" applyNumberFormat="1" applyFill="1" applyBorder="1" applyAlignment="1">
      <alignment horizontal="center" vertical="center"/>
    </xf>
    <xf numFmtId="0" fontId="9" fillId="0" borderId="2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horizontal="righ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6" fillId="12" borderId="21" xfId="0" applyFont="1" applyFill="1" applyBorder="1" applyAlignment="1">
      <alignment horizontal="center"/>
    </xf>
    <xf numFmtId="0" fontId="10" fillId="0" borderId="3" xfId="0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top" wrapText="1"/>
      <protection locked="0"/>
    </xf>
    <xf numFmtId="0" fontId="19" fillId="0" borderId="21" xfId="0" applyFont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top"/>
    </xf>
    <xf numFmtId="0" fontId="10" fillId="0" borderId="13" xfId="0" applyFont="1" applyBorder="1" applyAlignment="1">
      <alignment horizontal="center" vertical="center"/>
    </xf>
    <xf numFmtId="10" fontId="21" fillId="8" borderId="13" xfId="0" applyNumberFormat="1" applyFont="1" applyFill="1" applyBorder="1" applyAlignment="1" applyProtection="1">
      <alignment horizontal="center" vertical="center" wrapText="1"/>
      <protection locked="0"/>
    </xf>
    <xf numFmtId="10" fontId="21" fillId="8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9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6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17" fillId="0" borderId="3" xfId="0" applyFont="1" applyBorder="1"/>
    <xf numFmtId="0" fontId="10" fillId="10" borderId="13" xfId="0" applyFont="1" applyFill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left" vertical="center" wrapText="1"/>
      <protection locked="0"/>
    </xf>
    <xf numFmtId="0" fontId="21" fillId="8" borderId="36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justify" vertical="top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3" fontId="10" fillId="13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vertical="center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vertical="center"/>
      <protection locked="0"/>
    </xf>
    <xf numFmtId="3" fontId="17" fillId="0" borderId="13" xfId="0" applyNumberFormat="1" applyFont="1" applyBorder="1" applyAlignment="1">
      <alignment horizontal="center" vertical="center" wrapText="1"/>
    </xf>
    <xf numFmtId="0" fontId="17" fillId="0" borderId="42" xfId="0" applyFont="1" applyBorder="1" applyAlignment="1" applyProtection="1">
      <alignment vertical="center"/>
      <protection locked="0"/>
    </xf>
    <xf numFmtId="0" fontId="17" fillId="0" borderId="43" xfId="0" applyFont="1" applyBorder="1" applyAlignment="1" applyProtection="1">
      <alignment vertical="center"/>
      <protection locked="0"/>
    </xf>
    <xf numFmtId="0" fontId="17" fillId="0" borderId="44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7" fillId="0" borderId="36" xfId="0" applyFont="1" applyBorder="1" applyAlignment="1" applyProtection="1">
      <alignment vertical="center"/>
      <protection locked="0"/>
    </xf>
    <xf numFmtId="0" fontId="16" fillId="8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center" wrapText="1"/>
    </xf>
    <xf numFmtId="49" fontId="10" fillId="0" borderId="25" xfId="0" applyNumberFormat="1" applyFont="1" applyBorder="1" applyAlignment="1" applyProtection="1">
      <alignment vertical="center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3" fontId="21" fillId="8" borderId="13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3" fontId="21" fillId="7" borderId="20" xfId="0" applyNumberFormat="1" applyFont="1" applyFill="1" applyBorder="1" applyAlignment="1" applyProtection="1">
      <alignment horizontal="center" vertical="center" wrapText="1"/>
      <protection locked="0"/>
    </xf>
    <xf numFmtId="3" fontId="21" fillId="8" borderId="36" xfId="0" applyNumberFormat="1" applyFont="1" applyFill="1" applyBorder="1" applyAlignment="1">
      <alignment horizontal="center" vertical="center" wrapText="1"/>
    </xf>
    <xf numFmtId="3" fontId="21" fillId="8" borderId="21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 applyProtection="1">
      <alignment vertical="center"/>
      <protection locked="0"/>
    </xf>
    <xf numFmtId="0" fontId="10" fillId="11" borderId="0" xfId="0" applyFont="1" applyFill="1" applyAlignment="1">
      <alignment horizontal="center" vertical="center" wrapText="1"/>
    </xf>
    <xf numFmtId="0" fontId="10" fillId="0" borderId="21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0" fillId="9" borderId="13" xfId="0" applyFont="1" applyFill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righ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21" fillId="8" borderId="0" xfId="0" applyFont="1" applyFill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0" fontId="21" fillId="0" borderId="15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21" fillId="9" borderId="4" xfId="0" applyFont="1" applyFill="1" applyBorder="1" applyAlignment="1">
      <alignment horizontal="center" vertical="center" wrapText="1"/>
    </xf>
    <xf numFmtId="10" fontId="21" fillId="8" borderId="4" xfId="2" applyNumberFormat="1" applyFont="1" applyFill="1" applyBorder="1" applyAlignment="1">
      <alignment horizontal="center" vertical="center" wrapText="1"/>
    </xf>
    <xf numFmtId="3" fontId="21" fillId="9" borderId="4" xfId="0" applyNumberFormat="1" applyFont="1" applyFill="1" applyBorder="1" applyAlignment="1">
      <alignment horizontal="center" vertical="center" wrapText="1"/>
    </xf>
    <xf numFmtId="3" fontId="10" fillId="9" borderId="4" xfId="0" applyNumberFormat="1" applyFont="1" applyFill="1" applyBorder="1" applyAlignment="1">
      <alignment horizontal="center" vertical="center" wrapText="1"/>
    </xf>
    <xf numFmtId="10" fontId="21" fillId="9" borderId="19" xfId="2" applyNumberFormat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9" borderId="23" xfId="0" applyFont="1" applyFill="1" applyBorder="1" applyAlignment="1">
      <alignment horizontal="center" vertical="center" wrapText="1"/>
    </xf>
    <xf numFmtId="3" fontId="21" fillId="9" borderId="23" xfId="0" applyNumberFormat="1" applyFont="1" applyFill="1" applyBorder="1" applyAlignment="1">
      <alignment horizontal="center" vertical="center" wrapText="1"/>
    </xf>
    <xf numFmtId="10" fontId="21" fillId="9" borderId="24" xfId="2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3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20" xfId="0" applyFont="1" applyBorder="1" applyAlignment="1" applyProtection="1">
      <alignment vertical="center"/>
      <protection locked="0"/>
    </xf>
    <xf numFmtId="0" fontId="1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13" borderId="36" xfId="0" applyFont="1" applyFill="1" applyBorder="1" applyAlignment="1">
      <alignment horizontal="center" vertical="center" wrapText="1"/>
    </xf>
    <xf numFmtId="0" fontId="30" fillId="6" borderId="4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20" xfId="0" applyFont="1" applyBorder="1"/>
    <xf numFmtId="0" fontId="17" fillId="0" borderId="36" xfId="0" applyFont="1" applyBorder="1"/>
    <xf numFmtId="0" fontId="31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31" fillId="0" borderId="10" xfId="0" applyFont="1" applyBorder="1" applyProtection="1">
      <protection locked="0"/>
    </xf>
    <xf numFmtId="0" fontId="31" fillId="0" borderId="11" xfId="0" applyFont="1" applyBorder="1" applyProtection="1"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vertical="center" wrapText="1"/>
      <protection locked="0"/>
    </xf>
    <xf numFmtId="0" fontId="31" fillId="0" borderId="3" xfId="0" applyFont="1" applyBorder="1"/>
    <xf numFmtId="0" fontId="33" fillId="0" borderId="0" xfId="0" applyFont="1"/>
    <xf numFmtId="0" fontId="31" fillId="0" borderId="0" xfId="0" applyFont="1"/>
    <xf numFmtId="0" fontId="31" fillId="0" borderId="3" xfId="0" applyFont="1" applyBorder="1" applyAlignment="1">
      <alignment wrapText="1"/>
    </xf>
    <xf numFmtId="0" fontId="31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1" fillId="0" borderId="3" xfId="0" applyFont="1" applyBorder="1" applyProtection="1">
      <protection locked="0"/>
    </xf>
    <xf numFmtId="0" fontId="36" fillId="0" borderId="3" xfId="0" applyFont="1" applyBorder="1" applyProtection="1">
      <protection locked="0"/>
    </xf>
    <xf numFmtId="0" fontId="31" fillId="0" borderId="20" xfId="0" applyFont="1" applyBorder="1" applyProtection="1">
      <protection locked="0"/>
    </xf>
    <xf numFmtId="0" fontId="31" fillId="0" borderId="36" xfId="0" applyFont="1" applyBorder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3" fontId="36" fillId="0" borderId="0" xfId="0" applyNumberFormat="1" applyFont="1" applyAlignment="1" applyProtection="1">
      <alignment vertical="center" wrapText="1"/>
      <protection locked="0"/>
    </xf>
    <xf numFmtId="0" fontId="31" fillId="0" borderId="12" xfId="0" applyFont="1" applyBorder="1" applyProtection="1"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0" xfId="0" applyFont="1" applyProtection="1">
      <protection locked="0"/>
    </xf>
    <xf numFmtId="0" fontId="31" fillId="0" borderId="13" xfId="0" applyFont="1" applyBorder="1"/>
    <xf numFmtId="0" fontId="31" fillId="0" borderId="13" xfId="0" applyFont="1" applyBorder="1" applyAlignment="1">
      <alignment wrapText="1"/>
    </xf>
    <xf numFmtId="0" fontId="31" fillId="0" borderId="0" xfId="0" applyFont="1" applyAlignment="1" applyProtection="1">
      <alignment wrapText="1"/>
      <protection locked="0"/>
    </xf>
    <xf numFmtId="0" fontId="31" fillId="0" borderId="13" xfId="0" applyFont="1" applyBorder="1" applyProtection="1">
      <protection locked="0"/>
    </xf>
    <xf numFmtId="0" fontId="31" fillId="0" borderId="21" xfId="0" applyFont="1" applyBorder="1" applyProtection="1">
      <protection locked="0"/>
    </xf>
    <xf numFmtId="2" fontId="16" fillId="10" borderId="0" xfId="0" applyNumberFormat="1" applyFont="1" applyFill="1" applyAlignment="1">
      <alignment horizontal="center" vertical="center"/>
    </xf>
    <xf numFmtId="0" fontId="44" fillId="0" borderId="0" xfId="0" applyFont="1" applyAlignment="1" applyProtection="1">
      <alignment horizontal="center" vertical="center" wrapText="1"/>
      <protection locked="0"/>
    </xf>
    <xf numFmtId="0" fontId="44" fillId="0" borderId="0" xfId="0" applyFont="1" applyAlignment="1" applyProtection="1">
      <alignment horizontal="center" vertical="center"/>
      <protection locked="0"/>
    </xf>
    <xf numFmtId="0" fontId="44" fillId="0" borderId="4" xfId="0" applyFont="1" applyBorder="1" applyAlignment="1">
      <alignment horizontal="center" vertical="center" wrapText="1"/>
    </xf>
    <xf numFmtId="0" fontId="44" fillId="6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16" fillId="0" borderId="48" xfId="0" applyFont="1" applyBorder="1" applyAlignment="1" applyProtection="1">
      <alignment vertical="center"/>
      <protection locked="0"/>
    </xf>
    <xf numFmtId="0" fontId="22" fillId="0" borderId="48" xfId="0" applyFont="1" applyBorder="1" applyAlignment="1">
      <alignment horizontal="center" vertical="center" wrapText="1"/>
    </xf>
    <xf numFmtId="0" fontId="0" fillId="0" borderId="48" xfId="0" applyBorder="1"/>
    <xf numFmtId="0" fontId="10" fillId="0" borderId="48" xfId="0" applyFont="1" applyBorder="1" applyAlignment="1" applyProtection="1">
      <alignment vertical="center"/>
      <protection locked="0"/>
    </xf>
    <xf numFmtId="0" fontId="22" fillId="13" borderId="4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 applyProtection="1">
      <alignment horizontal="center" vertical="center" wrapText="1"/>
      <protection locked="0"/>
    </xf>
    <xf numFmtId="0" fontId="4" fillId="0" borderId="48" xfId="3" applyFont="1" applyBorder="1" applyAlignment="1" applyProtection="1">
      <alignment vertical="center"/>
      <protection locked="0"/>
    </xf>
    <xf numFmtId="164" fontId="4" fillId="0" borderId="48" xfId="1" applyNumberFormat="1" applyFont="1" applyBorder="1" applyAlignment="1" applyProtection="1">
      <alignment horizontal="center" vertical="center"/>
      <protection locked="0"/>
    </xf>
    <xf numFmtId="0" fontId="4" fillId="4" borderId="48" xfId="3" applyFont="1" applyFill="1" applyBorder="1" applyAlignment="1" applyProtection="1">
      <alignment vertical="center"/>
      <protection locked="0"/>
    </xf>
    <xf numFmtId="0" fontId="4" fillId="4" borderId="48" xfId="3" applyFont="1" applyFill="1" applyBorder="1" applyAlignment="1" applyProtection="1">
      <alignment horizontal="center" vertical="center"/>
      <protection locked="0"/>
    </xf>
    <xf numFmtId="0" fontId="6" fillId="0" borderId="48" xfId="3" applyFont="1" applyBorder="1" applyAlignment="1" applyProtection="1">
      <alignment horizontal="left" vertical="center"/>
      <protection locked="0"/>
    </xf>
    <xf numFmtId="165" fontId="6" fillId="0" borderId="48" xfId="1" applyNumberFormat="1" applyFont="1" applyBorder="1" applyAlignment="1" applyProtection="1">
      <alignment vertical="center"/>
      <protection locked="0"/>
    </xf>
    <xf numFmtId="0" fontId="4" fillId="2" borderId="48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</xf>
    <xf numFmtId="0" fontId="6" fillId="0" borderId="48" xfId="3" applyFont="1" applyBorder="1" applyAlignment="1" applyProtection="1">
      <alignment vertical="center"/>
      <protection locked="0"/>
    </xf>
    <xf numFmtId="0" fontId="4" fillId="5" borderId="48" xfId="3" applyFont="1" applyFill="1" applyBorder="1" applyAlignment="1" applyProtection="1">
      <alignment vertical="center"/>
      <protection locked="0"/>
    </xf>
    <xf numFmtId="165" fontId="4" fillId="5" borderId="48" xfId="1" applyNumberFormat="1" applyFont="1" applyFill="1" applyBorder="1" applyAlignment="1" applyProtection="1">
      <alignment vertical="center"/>
    </xf>
    <xf numFmtId="0" fontId="6" fillId="0" borderId="37" xfId="3" applyFont="1" applyBorder="1" applyAlignment="1" applyProtection="1">
      <alignment horizontal="left" vertical="center"/>
      <protection locked="0"/>
    </xf>
    <xf numFmtId="165" fontId="6" fillId="0" borderId="38" xfId="1" applyNumberFormat="1" applyFont="1" applyBorder="1" applyAlignment="1" applyProtection="1">
      <alignment vertical="center"/>
      <protection locked="0"/>
    </xf>
    <xf numFmtId="165" fontId="6" fillId="0" borderId="48" xfId="1" applyNumberFormat="1" applyFont="1" applyBorder="1" applyAlignment="1" applyProtection="1">
      <alignment horizontal="right" vertical="center"/>
      <protection locked="0"/>
    </xf>
    <xf numFmtId="165" fontId="6" fillId="0" borderId="48" xfId="1" applyNumberFormat="1" applyFont="1" applyFill="1" applyBorder="1" applyAlignment="1" applyProtection="1">
      <alignment vertical="center"/>
      <protection locked="0"/>
    </xf>
    <xf numFmtId="165" fontId="4" fillId="4" borderId="48" xfId="1" applyNumberFormat="1" applyFont="1" applyFill="1" applyBorder="1" applyAlignment="1" applyProtection="1">
      <alignment vertical="center"/>
    </xf>
    <xf numFmtId="165" fontId="6" fillId="0" borderId="0" xfId="1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5" borderId="51" xfId="3" applyFont="1" applyFill="1" applyBorder="1" applyAlignment="1" applyProtection="1">
      <alignment vertical="center"/>
      <protection locked="0"/>
    </xf>
    <xf numFmtId="0" fontId="6" fillId="0" borderId="51" xfId="3" applyFont="1" applyBorder="1" applyAlignment="1" applyProtection="1">
      <alignment vertical="center"/>
      <protection locked="0"/>
    </xf>
    <xf numFmtId="0" fontId="4" fillId="6" borderId="39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horizontal="left" vertical="center"/>
      <protection locked="0"/>
    </xf>
    <xf numFmtId="0" fontId="0" fillId="0" borderId="25" xfId="0" applyBorder="1" applyProtection="1">
      <protection locked="0"/>
    </xf>
    <xf numFmtId="0" fontId="4" fillId="6" borderId="51" xfId="3" applyFont="1" applyFill="1" applyBorder="1" applyAlignment="1" applyProtection="1">
      <alignment vertical="center"/>
      <protection locked="0"/>
    </xf>
    <xf numFmtId="0" fontId="6" fillId="6" borderId="54" xfId="3" applyFont="1" applyFill="1" applyBorder="1" applyAlignment="1" applyProtection="1">
      <alignment vertical="center"/>
      <protection locked="0"/>
    </xf>
    <xf numFmtId="0" fontId="4" fillId="4" borderId="39" xfId="3" applyFont="1" applyFill="1" applyBorder="1" applyAlignment="1" applyProtection="1">
      <alignment vertical="center"/>
      <protection locked="0"/>
    </xf>
    <xf numFmtId="0" fontId="6" fillId="2" borderId="51" xfId="3" applyFont="1" applyFill="1" applyBorder="1" applyAlignment="1" applyProtection="1">
      <alignment vertical="center"/>
      <protection locked="0"/>
    </xf>
    <xf numFmtId="165" fontId="4" fillId="2" borderId="48" xfId="1" applyNumberFormat="1" applyFont="1" applyFill="1" applyBorder="1" applyAlignment="1" applyProtection="1">
      <alignment vertical="center"/>
      <protection locked="0"/>
    </xf>
    <xf numFmtId="0" fontId="4" fillId="4" borderId="51" xfId="3" applyFont="1" applyFill="1" applyBorder="1" applyAlignment="1" applyProtection="1">
      <alignment vertical="center"/>
      <protection locked="0"/>
    </xf>
    <xf numFmtId="0" fontId="6" fillId="0" borderId="37" xfId="3" applyFont="1" applyBorder="1" applyAlignment="1" applyProtection="1">
      <alignment vertical="center"/>
      <protection locked="0"/>
    </xf>
    <xf numFmtId="0" fontId="6" fillId="0" borderId="38" xfId="3" applyFont="1" applyBorder="1" applyAlignment="1" applyProtection="1">
      <alignment vertical="center"/>
      <protection locked="0"/>
    </xf>
    <xf numFmtId="165" fontId="6" fillId="2" borderId="48" xfId="1" applyNumberFormat="1" applyFont="1" applyFill="1" applyBorder="1" applyAlignment="1" applyProtection="1">
      <alignment vertical="center"/>
      <protection locked="0"/>
    </xf>
    <xf numFmtId="0" fontId="6" fillId="4" borderId="51" xfId="3" applyFont="1" applyFill="1" applyBorder="1" applyAlignment="1" applyProtection="1">
      <alignment vertical="center"/>
      <protection locked="0"/>
    </xf>
    <xf numFmtId="0" fontId="6" fillId="0" borderId="0" xfId="3" applyFont="1" applyAlignment="1" applyProtection="1">
      <alignment vertical="center" wrapText="1"/>
      <protection locked="0"/>
    </xf>
    <xf numFmtId="165" fontId="6" fillId="4" borderId="48" xfId="3" applyNumberFormat="1" applyFont="1" applyFill="1" applyBorder="1" applyAlignment="1">
      <alignment vertical="center"/>
    </xf>
    <xf numFmtId="0" fontId="6" fillId="0" borderId="51" xfId="3" applyFont="1" applyBorder="1" applyAlignment="1" applyProtection="1">
      <alignment vertical="center" wrapText="1"/>
      <protection locked="0"/>
    </xf>
    <xf numFmtId="0" fontId="6" fillId="0" borderId="53" xfId="3" applyFont="1" applyBorder="1" applyAlignment="1" applyProtection="1">
      <alignment horizontal="left" vertical="center" wrapText="1"/>
      <protection locked="0"/>
    </xf>
    <xf numFmtId="0" fontId="6" fillId="0" borderId="39" xfId="3" applyFont="1" applyBorder="1" applyAlignment="1" applyProtection="1">
      <alignment vertical="center"/>
      <protection locked="0"/>
    </xf>
    <xf numFmtId="165" fontId="6" fillId="0" borderId="9" xfId="1" applyNumberFormat="1" applyFont="1" applyBorder="1" applyAlignment="1" applyProtection="1">
      <alignment vertical="center"/>
      <protection locked="0"/>
    </xf>
    <xf numFmtId="165" fontId="4" fillId="5" borderId="54" xfId="1" applyNumberFormat="1" applyFont="1" applyFill="1" applyBorder="1" applyAlignment="1" applyProtection="1">
      <alignment horizontal="center" vertical="center"/>
    </xf>
    <xf numFmtId="0" fontId="4" fillId="4" borderId="52" xfId="3" applyFont="1" applyFill="1" applyBorder="1" applyAlignment="1" applyProtection="1">
      <alignment vertical="center"/>
      <protection locked="0"/>
    </xf>
    <xf numFmtId="0" fontId="6" fillId="0" borderId="53" xfId="3" applyFont="1" applyBorder="1" applyAlignment="1" applyProtection="1">
      <alignment vertical="center" wrapText="1"/>
      <protection locked="0"/>
    </xf>
    <xf numFmtId="0" fontId="25" fillId="7" borderId="12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vertical="center"/>
    </xf>
    <xf numFmtId="0" fontId="25" fillId="7" borderId="55" xfId="0" applyFont="1" applyFill="1" applyBorder="1" applyAlignment="1">
      <alignment vertical="center"/>
    </xf>
    <xf numFmtId="3" fontId="25" fillId="7" borderId="56" xfId="0" applyNumberFormat="1" applyFont="1" applyFill="1" applyBorder="1" applyAlignment="1" applyProtection="1">
      <alignment horizontal="center" vertical="center"/>
      <protection locked="0"/>
    </xf>
    <xf numFmtId="0" fontId="25" fillId="7" borderId="57" xfId="0" applyFont="1" applyFill="1" applyBorder="1" applyAlignment="1">
      <alignment vertical="center" wrapText="1"/>
    </xf>
    <xf numFmtId="3" fontId="25" fillId="8" borderId="58" xfId="0" applyNumberFormat="1" applyFont="1" applyFill="1" applyBorder="1" applyAlignment="1">
      <alignment horizontal="center" vertical="center"/>
    </xf>
    <xf numFmtId="0" fontId="45" fillId="0" borderId="48" xfId="7" applyBorder="1" applyAlignment="1" applyProtection="1">
      <alignment horizontal="center" wrapText="1"/>
      <protection locked="0"/>
    </xf>
    <xf numFmtId="0" fontId="15" fillId="0" borderId="48" xfId="7" applyFont="1" applyBorder="1" applyAlignment="1" applyProtection="1">
      <alignment horizontal="center" wrapText="1"/>
      <protection locked="0"/>
    </xf>
    <xf numFmtId="0" fontId="45" fillId="0" borderId="48" xfId="7" applyBorder="1" applyAlignment="1" applyProtection="1">
      <alignment horizontal="center" vertical="center" wrapText="1"/>
      <protection locked="0"/>
    </xf>
    <xf numFmtId="0" fontId="45" fillId="0" borderId="34" xfId="7" applyBorder="1" applyAlignment="1" applyProtection="1">
      <alignment horizontal="center" vertical="center" wrapText="1"/>
      <protection locked="0"/>
    </xf>
    <xf numFmtId="10" fontId="15" fillId="8" borderId="40" xfId="2" applyNumberFormat="1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 wrapText="1"/>
    </xf>
    <xf numFmtId="0" fontId="16" fillId="9" borderId="36" xfId="0" applyFont="1" applyFill="1" applyBorder="1" applyAlignment="1">
      <alignment horizontal="center" vertical="center"/>
    </xf>
    <xf numFmtId="0" fontId="47" fillId="0" borderId="10" xfId="0" applyFont="1" applyBorder="1" applyAlignment="1">
      <alignment vertical="center"/>
    </xf>
    <xf numFmtId="0" fontId="47" fillId="0" borderId="2" xfId="0" applyFont="1" applyBorder="1" applyAlignment="1">
      <alignment horizontal="center" vertical="center"/>
    </xf>
    <xf numFmtId="0" fontId="47" fillId="0" borderId="8" xfId="0" applyFont="1" applyBorder="1" applyAlignment="1">
      <alignment horizontal="left" vertical="center"/>
    </xf>
    <xf numFmtId="0" fontId="47" fillId="9" borderId="32" xfId="0" applyFont="1" applyFill="1" applyBorder="1" applyAlignment="1">
      <alignment horizontal="center" vertical="center"/>
    </xf>
    <xf numFmtId="3" fontId="10" fillId="7" borderId="0" xfId="0" applyNumberFormat="1" applyFont="1" applyFill="1" applyAlignment="1" applyProtection="1">
      <alignment horizontal="center" vertical="center" wrapText="1"/>
      <protection locked="0"/>
    </xf>
    <xf numFmtId="2" fontId="10" fillId="9" borderId="4" xfId="0" applyNumberFormat="1" applyFont="1" applyFill="1" applyBorder="1" applyAlignment="1">
      <alignment horizontal="center" vertical="center" wrapText="1"/>
    </xf>
    <xf numFmtId="0" fontId="15" fillId="0" borderId="59" xfId="0" applyFont="1" applyBorder="1" applyAlignment="1">
      <alignment vertical="center" wrapText="1"/>
    </xf>
    <xf numFmtId="0" fontId="15" fillId="0" borderId="48" xfId="0" applyFont="1" applyBorder="1" applyAlignment="1" applyProtection="1">
      <alignment wrapText="1"/>
      <protection locked="0"/>
    </xf>
    <xf numFmtId="0" fontId="0" fillId="0" borderId="4" xfId="0" applyBorder="1"/>
    <xf numFmtId="0" fontId="10" fillId="0" borderId="4" xfId="0" applyFont="1" applyBorder="1" applyAlignment="1" applyProtection="1">
      <alignment horizontal="center"/>
      <protection locked="0"/>
    </xf>
    <xf numFmtId="166" fontId="10" fillId="0" borderId="4" xfId="6" applyNumberFormat="1" applyFont="1" applyBorder="1" applyAlignment="1" applyProtection="1">
      <alignment horizontal="center"/>
      <protection locked="0"/>
    </xf>
    <xf numFmtId="166" fontId="10" fillId="0" borderId="4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>
      <alignment horizontal="center" vertical="center"/>
    </xf>
    <xf numFmtId="166" fontId="10" fillId="0" borderId="4" xfId="6" applyNumberFormat="1" applyFont="1" applyBorder="1" applyAlignment="1" applyProtection="1">
      <alignment horizontal="center" vertical="center"/>
      <protection locked="0"/>
    </xf>
    <xf numFmtId="0" fontId="10" fillId="7" borderId="4" xfId="0" applyFont="1" applyFill="1" applyBorder="1" applyAlignment="1" applyProtection="1">
      <alignment horizontal="center" vertical="center"/>
      <protection locked="0"/>
    </xf>
    <xf numFmtId="166" fontId="10" fillId="7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4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166" fontId="11" fillId="0" borderId="4" xfId="0" applyNumberFormat="1" applyFont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10" fillId="0" borderId="0" xfId="0" applyFont="1" applyAlignment="1" applyProtection="1">
      <alignment horizontal="center" vertical="top" wrapText="1"/>
      <protection locked="0"/>
    </xf>
    <xf numFmtId="0" fontId="19" fillId="0" borderId="0" xfId="0" applyFont="1" applyAlignment="1">
      <alignment horizontal="center" vertical="center"/>
    </xf>
    <xf numFmtId="0" fontId="10" fillId="15" borderId="48" xfId="0" applyFont="1" applyFill="1" applyBorder="1" applyAlignment="1" applyProtection="1">
      <alignment vertical="center"/>
      <protection locked="0"/>
    </xf>
    <xf numFmtId="2" fontId="16" fillId="9" borderId="36" xfId="0" applyNumberFormat="1" applyFont="1" applyFill="1" applyBorder="1" applyAlignment="1">
      <alignment horizontal="center" vertical="center"/>
    </xf>
    <xf numFmtId="0" fontId="31" fillId="0" borderId="3" xfId="0" applyFont="1" applyBorder="1" applyAlignment="1" applyProtection="1">
      <alignment horizont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43" fillId="0" borderId="13" xfId="0" applyFont="1" applyBorder="1" applyAlignment="1" applyProtection="1">
      <alignment horizontal="center"/>
      <protection locked="0"/>
    </xf>
    <xf numFmtId="0" fontId="34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31" fillId="0" borderId="25" xfId="0" applyFont="1" applyBorder="1" applyAlignment="1">
      <alignment horizontal="center"/>
    </xf>
    <xf numFmtId="49" fontId="31" fillId="0" borderId="25" xfId="0" applyNumberFormat="1" applyFont="1" applyBorder="1" applyAlignment="1">
      <alignment horizontal="center"/>
    </xf>
    <xf numFmtId="0" fontId="35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18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0" fontId="21" fillId="13" borderId="5" xfId="0" applyFont="1" applyFill="1" applyBorder="1" applyAlignment="1">
      <alignment horizontal="center" vertical="center" wrapText="1"/>
    </xf>
    <xf numFmtId="0" fontId="21" fillId="13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21" fillId="0" borderId="20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left" vertical="center" wrapText="1"/>
      <protection locked="0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164" fontId="10" fillId="0" borderId="0" xfId="0" applyNumberFormat="1" applyFont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vertical="center"/>
      <protection locked="0"/>
    </xf>
    <xf numFmtId="0" fontId="22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horizontal="justify" vertical="top" wrapText="1"/>
      <protection locked="0"/>
    </xf>
    <xf numFmtId="0" fontId="10" fillId="0" borderId="13" xfId="0" applyFont="1" applyBorder="1" applyAlignment="1" applyProtection="1">
      <alignment horizontal="justify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justify" vertical="top"/>
      <protection locked="0"/>
    </xf>
    <xf numFmtId="0" fontId="21" fillId="7" borderId="1" xfId="0" applyFont="1" applyFill="1" applyBorder="1" applyAlignment="1" applyProtection="1">
      <alignment horizontal="center" vertical="center" wrapText="1"/>
      <protection locked="0"/>
    </xf>
    <xf numFmtId="0" fontId="21" fillId="7" borderId="26" xfId="0" applyFont="1" applyFill="1" applyBorder="1" applyAlignment="1" applyProtection="1">
      <alignment horizontal="center" vertical="center" wrapText="1"/>
      <protection locked="0"/>
    </xf>
    <xf numFmtId="0" fontId="21" fillId="7" borderId="2" xfId="0" applyFont="1" applyFill="1" applyBorder="1" applyAlignment="1" applyProtection="1">
      <alignment horizontal="center" vertical="center" wrapText="1"/>
      <protection locked="0"/>
    </xf>
    <xf numFmtId="3" fontId="10" fillId="7" borderId="3" xfId="0" applyNumberFormat="1" applyFont="1" applyFill="1" applyBorder="1" applyAlignment="1" applyProtection="1">
      <alignment horizontal="left" vertical="center" wrapText="1"/>
      <protection locked="0"/>
    </xf>
    <xf numFmtId="3" fontId="10" fillId="7" borderId="0" xfId="0" applyNumberFormat="1" applyFont="1" applyFill="1" applyAlignment="1" applyProtection="1">
      <alignment horizontal="left" vertical="center" wrapText="1"/>
      <protection locked="0"/>
    </xf>
    <xf numFmtId="0" fontId="10" fillId="7" borderId="0" xfId="0" applyFont="1" applyFill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10" fillId="7" borderId="13" xfId="0" applyFont="1" applyFill="1" applyBorder="1" applyAlignment="1">
      <alignment horizontal="center" vertical="top" wrapText="1"/>
    </xf>
    <xf numFmtId="0" fontId="10" fillId="7" borderId="21" xfId="0" applyFont="1" applyFill="1" applyBorder="1" applyAlignment="1">
      <alignment horizontal="center"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9" fillId="7" borderId="3" xfId="0" applyFont="1" applyFill="1" applyBorder="1" applyAlignment="1" applyProtection="1">
      <alignment horizontal="center" vertical="center" wrapText="1"/>
      <protection locked="0"/>
    </xf>
    <xf numFmtId="0" fontId="19" fillId="7" borderId="0" xfId="0" applyFont="1" applyFill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 wrapText="1"/>
      <protection locked="0"/>
    </xf>
    <xf numFmtId="0" fontId="19" fillId="7" borderId="36" xfId="0" applyFont="1" applyFill="1" applyBorder="1" applyAlignment="1" applyProtection="1">
      <alignment horizontal="center" vertical="center" wrapText="1"/>
      <protection locked="0"/>
    </xf>
    <xf numFmtId="3" fontId="21" fillId="7" borderId="20" xfId="0" applyNumberFormat="1" applyFont="1" applyFill="1" applyBorder="1" applyAlignment="1" applyProtection="1">
      <alignment horizontal="left" vertical="center" wrapText="1"/>
      <protection locked="0"/>
    </xf>
    <xf numFmtId="3" fontId="21" fillId="7" borderId="36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2" fillId="0" borderId="20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19" fillId="0" borderId="3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49" fontId="10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51" xfId="0" applyFont="1" applyBorder="1" applyAlignment="1">
      <alignment horizontal="left" vertical="center" wrapText="1"/>
    </xf>
    <xf numFmtId="0" fontId="22" fillId="0" borderId="54" xfId="0" applyFont="1" applyBorder="1" applyAlignment="1">
      <alignment horizontal="left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center" vertical="center"/>
    </xf>
    <xf numFmtId="0" fontId="22" fillId="0" borderId="48" xfId="0" applyFont="1" applyBorder="1" applyAlignment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center" vertical="top" wrapText="1"/>
      <protection locked="0"/>
    </xf>
    <xf numFmtId="0" fontId="8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8" borderId="32" xfId="2" applyNumberFormat="1" applyFont="1" applyFill="1" applyBorder="1" applyAlignment="1">
      <alignment horizontal="center" vertical="center" wrapText="1"/>
    </xf>
    <xf numFmtId="10" fontId="0" fillId="8" borderId="40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8" borderId="35" xfId="0" applyNumberFormat="1" applyFill="1" applyBorder="1" applyAlignment="1">
      <alignment horizontal="center" vertical="center"/>
    </xf>
    <xf numFmtId="10" fontId="0" fillId="8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6" fillId="7" borderId="1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49" fontId="15" fillId="0" borderId="25" xfId="0" applyNumberFormat="1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164" fontId="15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8" fillId="8" borderId="36" xfId="0" applyNumberFormat="1" applyFont="1" applyFill="1" applyBorder="1" applyAlignment="1">
      <alignment horizontal="center" vertical="center"/>
    </xf>
    <xf numFmtId="3" fontId="8" fillId="8" borderId="2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7" fillId="2" borderId="26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wrapText="1"/>
      <protection locked="0"/>
    </xf>
    <xf numFmtId="49" fontId="15" fillId="0" borderId="25" xfId="0" applyNumberFormat="1" applyFont="1" applyBorder="1" applyAlignment="1" applyProtection="1">
      <alignment horizontal="left" vertical="center" wrapText="1"/>
      <protection locked="0"/>
    </xf>
    <xf numFmtId="0" fontId="15" fillId="0" borderId="25" xfId="0" applyFont="1" applyBorder="1" applyAlignment="1" applyProtection="1">
      <alignment horizontal="left" vertical="center" wrapText="1"/>
      <protection locked="0"/>
    </xf>
    <xf numFmtId="164" fontId="15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46" fillId="0" borderId="1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3" fillId="2" borderId="49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3" borderId="48" xfId="3" applyFont="1" applyFill="1" applyBorder="1" applyAlignment="1" applyProtection="1">
      <alignment horizontal="center" vertical="center"/>
      <protection locked="0"/>
    </xf>
    <xf numFmtId="49" fontId="4" fillId="0" borderId="48" xfId="3" applyNumberFormat="1" applyFont="1" applyBorder="1" applyAlignment="1" applyProtection="1">
      <alignment horizontal="center" vertical="center"/>
      <protection locked="0"/>
    </xf>
    <xf numFmtId="0" fontId="4" fillId="0" borderId="48" xfId="3" applyFont="1" applyBorder="1" applyAlignment="1" applyProtection="1">
      <alignment horizontal="center" vertical="center"/>
      <protection locked="0"/>
    </xf>
    <xf numFmtId="0" fontId="4" fillId="3" borderId="48" xfId="0" applyFont="1" applyFill="1" applyBorder="1" applyAlignment="1">
      <alignment horizontal="center" vertical="center"/>
    </xf>
    <xf numFmtId="164" fontId="5" fillId="0" borderId="48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 2" xfId="7" xr:uid="{00000000-0005-0000-0000-000001000000}"/>
    <cellStyle name="Normal_Modelo Planilha Financeira" xfId="3" xr:uid="{00000000-0005-0000-0000-000002000000}"/>
    <cellStyle name="Nota 2" xfId="5" xr:uid="{00000000-0005-0000-0000-000003000000}"/>
    <cellStyle name="Porcentagem" xfId="2" builtinId="5"/>
    <cellStyle name="Porcentagem 8" xfId="4" xr:uid="{00000000-0005-0000-0000-000005000000}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showGridLines="0" zoomScale="80" zoomScaleNormal="80" zoomScalePageLayoutView="70" workbookViewId="0">
      <selection activeCell="M22" sqref="M22"/>
    </sheetView>
  </sheetViews>
  <sheetFormatPr defaultColWidth="9.140625" defaultRowHeight="26.25"/>
  <cols>
    <col min="1" max="10" width="16.42578125" style="316" customWidth="1"/>
    <col min="11" max="11" width="20.28515625" style="316" customWidth="1"/>
    <col min="12" max="12" width="16.42578125" style="316" customWidth="1"/>
    <col min="13" max="13" width="17.5703125" style="316" customWidth="1"/>
    <col min="14" max="16384" width="9.140625" style="316"/>
  </cols>
  <sheetData>
    <row r="1" spans="1:17">
      <c r="A1" s="317"/>
      <c r="B1" s="318"/>
      <c r="C1" s="318"/>
      <c r="D1" s="318"/>
      <c r="E1" s="318"/>
      <c r="F1" s="318"/>
      <c r="G1" s="318"/>
      <c r="H1" s="318"/>
      <c r="I1" s="318"/>
      <c r="J1" s="318"/>
      <c r="K1" s="334"/>
    </row>
    <row r="2" spans="1:17" ht="22.5" customHeight="1">
      <c r="A2" s="319"/>
      <c r="B2" s="320"/>
      <c r="C2" s="320"/>
      <c r="D2" s="320"/>
      <c r="E2" s="320"/>
      <c r="F2" s="320"/>
      <c r="G2" s="320"/>
      <c r="H2" s="320"/>
      <c r="I2" s="320"/>
      <c r="J2" s="320"/>
      <c r="K2" s="335"/>
      <c r="L2" s="320"/>
      <c r="M2" s="320"/>
      <c r="N2" s="320"/>
      <c r="O2" s="336"/>
      <c r="P2" s="337"/>
      <c r="Q2" s="337"/>
    </row>
    <row r="3" spans="1:17" ht="31.5">
      <c r="A3" s="442" t="s">
        <v>0</v>
      </c>
      <c r="B3" s="443"/>
      <c r="C3" s="443"/>
      <c r="D3" s="444" t="s">
        <v>1</v>
      </c>
      <c r="E3" s="444"/>
      <c r="F3" s="444"/>
      <c r="G3" s="444"/>
      <c r="H3" s="444"/>
      <c r="I3" s="444"/>
      <c r="J3" s="444"/>
      <c r="K3" s="338"/>
    </row>
    <row r="4" spans="1:17" ht="22.5" customHeight="1">
      <c r="A4" s="321"/>
      <c r="B4" s="322"/>
      <c r="C4" s="322"/>
      <c r="D4" s="322"/>
      <c r="E4" s="322"/>
      <c r="F4" s="322"/>
      <c r="G4" s="322"/>
      <c r="H4" s="322"/>
      <c r="I4" s="322"/>
      <c r="J4" s="322"/>
      <c r="K4" s="338"/>
    </row>
    <row r="5" spans="1:17" ht="31.5">
      <c r="A5" s="442" t="s">
        <v>2</v>
      </c>
      <c r="B5" s="443"/>
      <c r="C5" s="443"/>
      <c r="D5" s="445" t="s">
        <v>3</v>
      </c>
      <c r="E5" s="444"/>
      <c r="F5" s="444"/>
      <c r="G5" s="444"/>
      <c r="H5" s="444"/>
      <c r="I5" s="444"/>
      <c r="J5" s="444"/>
      <c r="K5" s="338"/>
    </row>
    <row r="6" spans="1:17" ht="22.5" customHeight="1">
      <c r="A6" s="321"/>
      <c r="B6" s="323"/>
      <c r="C6" s="323"/>
      <c r="D6" s="323"/>
      <c r="E6" s="323"/>
      <c r="F6" s="323"/>
      <c r="G6" s="323"/>
      <c r="H6" s="323"/>
      <c r="I6" s="323"/>
      <c r="J6" s="323"/>
      <c r="K6" s="338"/>
    </row>
    <row r="7" spans="1:17" ht="22.5" customHeight="1">
      <c r="A7" s="321"/>
      <c r="B7" s="323"/>
      <c r="C7" s="323"/>
      <c r="D7" s="323"/>
      <c r="E7" s="323"/>
      <c r="F7" s="323"/>
      <c r="G7" s="323"/>
      <c r="H7" s="323"/>
      <c r="I7" s="323"/>
      <c r="J7" s="323"/>
      <c r="K7" s="338"/>
    </row>
    <row r="8" spans="1:17" ht="22.5" customHeight="1">
      <c r="A8" s="324"/>
      <c r="B8" s="325"/>
      <c r="C8" s="325"/>
      <c r="D8" s="325"/>
      <c r="E8" s="325"/>
      <c r="F8" s="325"/>
      <c r="G8" s="325"/>
      <c r="H8" s="325"/>
      <c r="I8" s="325"/>
      <c r="J8" s="325"/>
      <c r="K8" s="339"/>
      <c r="L8" s="340"/>
      <c r="M8" s="340"/>
      <c r="N8" s="340"/>
      <c r="O8" s="340"/>
      <c r="P8" s="340"/>
      <c r="Q8" s="340"/>
    </row>
    <row r="9" spans="1:17" ht="22.5" customHeight="1">
      <c r="A9" s="321"/>
      <c r="B9" s="323"/>
      <c r="C9" s="323"/>
      <c r="D9" s="323"/>
      <c r="E9" s="323"/>
      <c r="F9" s="323"/>
      <c r="G9" s="323"/>
      <c r="H9" s="323"/>
      <c r="I9" s="323"/>
      <c r="J9" s="323"/>
      <c r="K9" s="338"/>
    </row>
    <row r="10" spans="1:17" ht="22.5" customHeight="1">
      <c r="A10" s="321"/>
      <c r="B10" s="323"/>
      <c r="C10" s="323"/>
      <c r="D10" s="323"/>
      <c r="E10" s="323"/>
      <c r="F10" s="323"/>
      <c r="G10" s="323"/>
      <c r="H10" s="323"/>
      <c r="I10" s="323"/>
      <c r="J10" s="323"/>
      <c r="K10" s="338"/>
    </row>
    <row r="11" spans="1:17" ht="22.5" customHeight="1">
      <c r="A11" s="321"/>
      <c r="B11" s="323"/>
      <c r="C11" s="323"/>
      <c r="D11" s="323"/>
      <c r="E11" s="323"/>
      <c r="F11" s="323"/>
      <c r="G11" s="323"/>
      <c r="H11" s="323"/>
      <c r="I11" s="323"/>
      <c r="J11" s="323"/>
      <c r="K11" s="338"/>
    </row>
    <row r="12" spans="1:17" ht="22.5" customHeight="1">
      <c r="A12" s="321"/>
      <c r="B12" s="323"/>
      <c r="C12" s="323"/>
      <c r="D12" s="323"/>
      <c r="E12" s="323"/>
      <c r="F12" s="323"/>
      <c r="G12" s="323"/>
      <c r="H12" s="323"/>
      <c r="I12" s="323"/>
      <c r="J12" s="323"/>
      <c r="K12" s="338"/>
    </row>
    <row r="13" spans="1:17" ht="22.5" customHeight="1">
      <c r="A13" s="321"/>
      <c r="B13" s="441" t="s">
        <v>4</v>
      </c>
      <c r="C13" s="441"/>
      <c r="D13" s="441"/>
      <c r="E13" s="441"/>
      <c r="F13" s="441"/>
      <c r="G13" s="441"/>
      <c r="H13" s="441"/>
      <c r="I13" s="441"/>
      <c r="J13" s="441"/>
      <c r="K13" s="338"/>
    </row>
    <row r="14" spans="1:17" ht="22.5" customHeight="1">
      <c r="A14" s="321"/>
      <c r="B14" s="441"/>
      <c r="C14" s="441"/>
      <c r="D14" s="441"/>
      <c r="E14" s="441"/>
      <c r="F14" s="441"/>
      <c r="G14" s="441"/>
      <c r="H14" s="441"/>
      <c r="I14" s="441"/>
      <c r="J14" s="441"/>
      <c r="K14" s="338"/>
    </row>
    <row r="15" spans="1:17" ht="22.5" customHeight="1">
      <c r="A15" s="321"/>
      <c r="B15" s="441"/>
      <c r="C15" s="441"/>
      <c r="D15" s="441"/>
      <c r="E15" s="441"/>
      <c r="F15" s="441"/>
      <c r="G15" s="441"/>
      <c r="H15" s="441"/>
      <c r="I15" s="441"/>
      <c r="J15" s="441"/>
      <c r="K15" s="338"/>
    </row>
    <row r="16" spans="1:17" ht="22.5" customHeight="1">
      <c r="A16" s="321"/>
      <c r="B16" s="441"/>
      <c r="C16" s="441"/>
      <c r="D16" s="441"/>
      <c r="E16" s="441"/>
      <c r="F16" s="441"/>
      <c r="G16" s="441"/>
      <c r="H16" s="441"/>
      <c r="I16" s="441"/>
      <c r="J16" s="441"/>
      <c r="K16" s="338"/>
    </row>
    <row r="17" spans="1:11" ht="22.5" customHeight="1">
      <c r="A17" s="321"/>
      <c r="B17" s="441"/>
      <c r="C17" s="441"/>
      <c r="D17" s="441"/>
      <c r="E17" s="441"/>
      <c r="F17" s="441"/>
      <c r="G17" s="441"/>
      <c r="H17" s="441"/>
      <c r="I17" s="441"/>
      <c r="J17" s="441"/>
      <c r="K17" s="338"/>
    </row>
    <row r="18" spans="1:11" ht="22.5" customHeight="1">
      <c r="A18" s="321"/>
      <c r="B18" s="326"/>
      <c r="C18" s="326"/>
      <c r="D18" s="326"/>
      <c r="E18" s="326"/>
      <c r="F18" s="326"/>
      <c r="G18" s="326"/>
      <c r="H18" s="326"/>
      <c r="I18" s="326"/>
      <c r="J18" s="326"/>
      <c r="K18" s="338"/>
    </row>
    <row r="19" spans="1:11" ht="22.5" customHeight="1">
      <c r="A19" s="321"/>
      <c r="B19" s="326"/>
      <c r="C19" s="326"/>
      <c r="D19" s="326"/>
      <c r="E19" s="326"/>
      <c r="F19" s="326"/>
      <c r="G19" s="326"/>
      <c r="H19" s="326"/>
      <c r="I19" s="326"/>
      <c r="J19" s="326"/>
      <c r="K19" s="338"/>
    </row>
    <row r="20" spans="1:11" ht="22.5" customHeight="1">
      <c r="A20" s="327"/>
      <c r="K20" s="341"/>
    </row>
    <row r="21" spans="1:11">
      <c r="A21" s="446" t="s">
        <v>528</v>
      </c>
      <c r="B21" s="447"/>
      <c r="C21" s="447"/>
      <c r="D21" s="447"/>
      <c r="E21" s="447"/>
      <c r="F21" s="447"/>
      <c r="G21" s="447"/>
      <c r="H21" s="447"/>
      <c r="I21" s="447"/>
      <c r="J21" s="447"/>
      <c r="K21" s="448"/>
    </row>
    <row r="22" spans="1:11" ht="22.5" customHeight="1">
      <c r="A22" s="327"/>
      <c r="K22" s="341"/>
    </row>
    <row r="23" spans="1:11" ht="22.5" customHeight="1">
      <c r="A23" s="327"/>
      <c r="K23" s="341"/>
    </row>
    <row r="24" spans="1:11" ht="22.5" customHeight="1">
      <c r="A24" s="327"/>
      <c r="K24" s="341"/>
    </row>
    <row r="25" spans="1:11" ht="22.5" customHeight="1">
      <c r="A25" s="327"/>
      <c r="K25" s="341"/>
    </row>
    <row r="26" spans="1:11" ht="22.5" customHeight="1">
      <c r="A26" s="328"/>
      <c r="K26" s="341"/>
    </row>
    <row r="27" spans="1:11" ht="22.5" customHeight="1">
      <c r="A27" s="327"/>
      <c r="K27" s="341"/>
    </row>
    <row r="28" spans="1:11" ht="22.5" customHeight="1">
      <c r="A28" s="327"/>
      <c r="K28" s="341"/>
    </row>
    <row r="29" spans="1:11">
      <c r="A29" s="438" t="s">
        <v>529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40"/>
    </row>
    <row r="30" spans="1:11" ht="22.5" customHeight="1">
      <c r="A30" s="329"/>
      <c r="B30" s="330"/>
      <c r="C30" s="330"/>
      <c r="D30" s="330"/>
      <c r="E30" s="330"/>
      <c r="F30" s="330"/>
      <c r="G30" s="330"/>
      <c r="H30" s="330"/>
      <c r="I30" s="330"/>
      <c r="J30" s="330"/>
      <c r="K30" s="342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15" customFormat="1" ht="22.5" customHeight="1"/>
    <row r="45" spans="1:1" ht="22.5" customHeight="1">
      <c r="A45" s="331"/>
    </row>
    <row r="46" spans="1:1" ht="22.5" customHeight="1">
      <c r="A46" s="332"/>
    </row>
    <row r="47" spans="1:1" ht="22.5" customHeight="1">
      <c r="A47" s="333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zoomScaleNormal="100" zoomScaleSheetLayoutView="90" workbookViewId="0">
      <selection activeCell="B14" sqref="B14"/>
    </sheetView>
  </sheetViews>
  <sheetFormatPr defaultColWidth="9.140625" defaultRowHeight="15"/>
  <cols>
    <col min="1" max="1" width="28.42578125" style="302" customWidth="1"/>
    <col min="2" max="5" width="15.42578125" style="302" customWidth="1"/>
    <col min="6" max="16384" width="9.140625" style="302"/>
  </cols>
  <sheetData>
    <row r="1" spans="1:6" ht="21.95" customHeight="1">
      <c r="A1" s="449" t="s">
        <v>5</v>
      </c>
      <c r="B1" s="450"/>
      <c r="C1" s="450"/>
      <c r="D1" s="450"/>
      <c r="E1" s="450"/>
      <c r="F1" s="450"/>
    </row>
    <row r="2" spans="1:6">
      <c r="A2" s="199"/>
      <c r="B2" s="196"/>
      <c r="C2" s="196"/>
      <c r="D2" s="196"/>
      <c r="E2" s="196"/>
      <c r="F2" s="196"/>
    </row>
    <row r="3" spans="1:6">
      <c r="A3" s="200" t="s">
        <v>6</v>
      </c>
      <c r="B3" s="248" t="s">
        <v>3</v>
      </c>
      <c r="C3" s="248"/>
      <c r="D3" s="248"/>
      <c r="E3" s="249"/>
      <c r="F3" s="249"/>
    </row>
    <row r="4" spans="1:6">
      <c r="A4" s="200" t="s">
        <v>7</v>
      </c>
      <c r="B4" s="274">
        <v>45778</v>
      </c>
      <c r="C4" s="249"/>
      <c r="D4" s="249"/>
      <c r="E4" s="249"/>
      <c r="F4" s="249"/>
    </row>
    <row r="5" spans="1:6">
      <c r="A5" s="224"/>
      <c r="C5" s="196"/>
      <c r="D5" s="196"/>
      <c r="E5" s="196"/>
      <c r="F5" s="196"/>
    </row>
    <row r="6" spans="1:6">
      <c r="A6" s="451" t="s">
        <v>8</v>
      </c>
      <c r="B6" s="452"/>
      <c r="C6" s="452"/>
      <c r="D6" s="452"/>
      <c r="E6" s="453"/>
    </row>
    <row r="7" spans="1:6" ht="27" customHeight="1">
      <c r="A7" s="303" t="s">
        <v>9</v>
      </c>
      <c r="B7" s="304" t="s">
        <v>10</v>
      </c>
      <c r="C7" s="304" t="s">
        <v>11</v>
      </c>
      <c r="D7" s="304" t="s">
        <v>12</v>
      </c>
      <c r="E7" s="305" t="s">
        <v>13</v>
      </c>
    </row>
    <row r="8" spans="1:6" ht="21" customHeight="1">
      <c r="A8" s="306" t="str">
        <f>Assistencial!A8</f>
        <v>1. Clínica Cirúrgica</v>
      </c>
      <c r="B8" s="344">
        <v>35</v>
      </c>
      <c r="C8" s="213">
        <v>0</v>
      </c>
      <c r="D8" s="213">
        <v>0</v>
      </c>
      <c r="E8" s="307">
        <v>0</v>
      </c>
    </row>
    <row r="9" spans="1:6" ht="21" customHeight="1">
      <c r="A9" s="306" t="str">
        <f>Assistencial!A9</f>
        <v>2. Clínica Médica</v>
      </c>
      <c r="B9" s="344">
        <v>34</v>
      </c>
      <c r="C9" s="213">
        <v>0</v>
      </c>
      <c r="D9" s="213">
        <v>0</v>
      </c>
      <c r="E9" s="307">
        <v>0</v>
      </c>
    </row>
    <row r="10" spans="1:6" ht="21" customHeight="1">
      <c r="A10" s="306" t="str">
        <f>Assistencial!A10</f>
        <v>3. Oncologia Clínica</v>
      </c>
      <c r="B10" s="344">
        <v>0</v>
      </c>
      <c r="C10" s="213">
        <v>0</v>
      </c>
      <c r="D10" s="213">
        <v>0</v>
      </c>
      <c r="E10" s="307">
        <v>0</v>
      </c>
    </row>
    <row r="11" spans="1:6" ht="21" customHeight="1">
      <c r="A11" s="306" t="str">
        <f>Assistencial!A11</f>
        <v>4. Oncologia Cirúrgica</v>
      </c>
      <c r="B11" s="344">
        <v>0</v>
      </c>
      <c r="C11" s="213">
        <v>0</v>
      </c>
      <c r="D11" s="213">
        <v>0</v>
      </c>
      <c r="E11" s="307">
        <v>0</v>
      </c>
    </row>
    <row r="12" spans="1:6" ht="21" customHeight="1">
      <c r="A12" s="306" t="str">
        <f>Assistencial!A12</f>
        <v>5. Clínica Gineco/Obstétrica</v>
      </c>
      <c r="B12" s="344">
        <v>7</v>
      </c>
      <c r="C12" s="213">
        <v>0</v>
      </c>
      <c r="D12" s="213">
        <v>0</v>
      </c>
      <c r="E12" s="307">
        <v>0</v>
      </c>
    </row>
    <row r="13" spans="1:6" ht="21" customHeight="1">
      <c r="A13" s="306" t="str">
        <f>Assistencial!A13</f>
        <v>6. Clínica Pediátrica</v>
      </c>
      <c r="B13" s="345">
        <v>6</v>
      </c>
      <c r="C13" s="197">
        <v>0</v>
      </c>
      <c r="D13" s="197">
        <v>0</v>
      </c>
      <c r="E13" s="217">
        <v>0</v>
      </c>
    </row>
    <row r="14" spans="1:6">
      <c r="A14" s="306" t="str">
        <f>Assistencial!A14</f>
        <v>7. UTI Adulto</v>
      </c>
      <c r="B14" s="345">
        <v>10</v>
      </c>
      <c r="C14" s="197">
        <v>0</v>
      </c>
      <c r="D14" s="197">
        <v>0</v>
      </c>
      <c r="E14" s="217">
        <v>0</v>
      </c>
    </row>
    <row r="15" spans="1:6">
      <c r="A15" s="308" t="s">
        <v>14</v>
      </c>
      <c r="B15" s="309">
        <f>SUM(B8:B14)</f>
        <v>92</v>
      </c>
      <c r="C15" s="309">
        <f>SUM(C8:C14)</f>
        <v>0</v>
      </c>
      <c r="D15" s="309">
        <f>SUM(D8:D14)</f>
        <v>0</v>
      </c>
      <c r="E15" s="309">
        <f>SUM(E8:E14)</f>
        <v>0</v>
      </c>
    </row>
    <row r="16" spans="1:6">
      <c r="A16" s="224"/>
    </row>
    <row r="17" spans="1:3">
      <c r="A17" s="224"/>
    </row>
    <row r="18" spans="1:3">
      <c r="A18" s="454" t="s">
        <v>15</v>
      </c>
      <c r="B18" s="455"/>
      <c r="C18" s="456"/>
    </row>
    <row r="19" spans="1:3">
      <c r="A19" s="457" t="s">
        <v>16</v>
      </c>
      <c r="B19" s="458"/>
      <c r="C19" s="310"/>
    </row>
    <row r="20" spans="1:3">
      <c r="A20" s="459" t="s">
        <v>17</v>
      </c>
      <c r="B20" s="460"/>
      <c r="C20" s="346">
        <v>10</v>
      </c>
    </row>
    <row r="21" spans="1:3">
      <c r="A21" s="457" t="s">
        <v>18</v>
      </c>
      <c r="B21" s="458"/>
      <c r="C21" s="347"/>
    </row>
    <row r="22" spans="1:3">
      <c r="A22" s="459" t="s">
        <v>19</v>
      </c>
      <c r="B22" s="460"/>
      <c r="C22" s="346">
        <v>1</v>
      </c>
    </row>
    <row r="23" spans="1:3">
      <c r="A23" s="461" t="s">
        <v>20</v>
      </c>
      <c r="B23" s="462"/>
      <c r="C23" s="346">
        <v>17</v>
      </c>
    </row>
    <row r="24" spans="1:3">
      <c r="A24" s="461" t="s">
        <v>21</v>
      </c>
      <c r="B24" s="462"/>
      <c r="C24" s="346">
        <v>1</v>
      </c>
    </row>
    <row r="25" spans="1:3">
      <c r="A25" s="461" t="s">
        <v>22</v>
      </c>
      <c r="B25" s="462"/>
      <c r="C25" s="346">
        <v>2</v>
      </c>
    </row>
    <row r="26" spans="1:3">
      <c r="A26" s="461" t="s">
        <v>23</v>
      </c>
      <c r="B26" s="462"/>
      <c r="C26" s="346">
        <v>2</v>
      </c>
    </row>
    <row r="27" spans="1:3">
      <c r="A27" s="461" t="s">
        <v>24</v>
      </c>
      <c r="B27" s="462"/>
      <c r="C27" s="346">
        <v>1</v>
      </c>
    </row>
    <row r="28" spans="1:3">
      <c r="A28" s="461" t="s">
        <v>25</v>
      </c>
      <c r="B28" s="462"/>
      <c r="C28" s="346">
        <v>10</v>
      </c>
    </row>
    <row r="29" spans="1:3">
      <c r="A29" s="461" t="s">
        <v>26</v>
      </c>
      <c r="B29" s="462"/>
      <c r="C29" s="346">
        <v>1</v>
      </c>
    </row>
    <row r="30" spans="1:3">
      <c r="A30" s="457" t="s">
        <v>27</v>
      </c>
      <c r="B30" s="458"/>
      <c r="C30" s="347"/>
    </row>
    <row r="31" spans="1:3">
      <c r="A31" s="461" t="s">
        <v>28</v>
      </c>
      <c r="B31" s="462"/>
      <c r="C31" s="346">
        <v>2</v>
      </c>
    </row>
    <row r="32" spans="1:3">
      <c r="A32" s="461" t="s">
        <v>29</v>
      </c>
      <c r="B32" s="462"/>
      <c r="C32" s="346">
        <v>20</v>
      </c>
    </row>
    <row r="33" spans="1:6">
      <c r="A33" s="461" t="s">
        <v>30</v>
      </c>
      <c r="B33" s="462"/>
      <c r="C33" s="346">
        <v>3</v>
      </c>
    </row>
    <row r="34" spans="1:6">
      <c r="A34" s="461" t="s">
        <v>31</v>
      </c>
      <c r="B34" s="462"/>
      <c r="C34" s="346">
        <v>2</v>
      </c>
    </row>
    <row r="35" spans="1:6">
      <c r="A35" s="461" t="s">
        <v>32</v>
      </c>
      <c r="B35" s="462"/>
      <c r="C35" s="346">
        <v>2</v>
      </c>
    </row>
    <row r="36" spans="1:6">
      <c r="A36" s="461" t="s">
        <v>33</v>
      </c>
      <c r="B36" s="462"/>
      <c r="C36" s="346">
        <v>5</v>
      </c>
    </row>
    <row r="37" spans="1:6">
      <c r="A37" s="457" t="s">
        <v>34</v>
      </c>
      <c r="B37" s="458"/>
      <c r="C37" s="347"/>
    </row>
    <row r="38" spans="1:6">
      <c r="A38" s="461" t="s">
        <v>35</v>
      </c>
      <c r="B38" s="462"/>
      <c r="C38" s="348">
        <v>5</v>
      </c>
    </row>
    <row r="39" spans="1:6">
      <c r="A39" s="461" t="s">
        <v>36</v>
      </c>
      <c r="B39" s="462"/>
      <c r="C39" s="348">
        <v>2</v>
      </c>
    </row>
    <row r="40" spans="1:6">
      <c r="A40" s="457" t="s">
        <v>37</v>
      </c>
      <c r="B40" s="458"/>
      <c r="C40" s="347"/>
    </row>
    <row r="41" spans="1:6">
      <c r="A41" s="461" t="s">
        <v>38</v>
      </c>
      <c r="B41" s="462"/>
      <c r="C41" s="348">
        <v>6</v>
      </c>
    </row>
    <row r="42" spans="1:6">
      <c r="A42" s="463" t="s">
        <v>39</v>
      </c>
      <c r="B42" s="464"/>
      <c r="C42" s="311">
        <f>SUM(C19:C41)</f>
        <v>92</v>
      </c>
    </row>
    <row r="43" spans="1:6">
      <c r="A43" s="224"/>
      <c r="C43" s="312" t="str">
        <f>IF(C42+C15+D15+E15=B15,"ok","rever")</f>
        <v>ok</v>
      </c>
    </row>
    <row r="44" spans="1:6">
      <c r="A44" s="313"/>
      <c r="B44" s="314"/>
      <c r="C44" s="314"/>
      <c r="D44" s="314"/>
      <c r="E44" s="314"/>
      <c r="F44" s="314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10" sqref="F10"/>
    </sheetView>
  </sheetViews>
  <sheetFormatPr defaultColWidth="28" defaultRowHeight="22.5" customHeight="1"/>
  <cols>
    <col min="1" max="1" width="26.7109375" style="196" customWidth="1"/>
    <col min="2" max="2" width="13.28515625" style="196" customWidth="1"/>
    <col min="3" max="3" width="14.7109375" style="196" customWidth="1"/>
    <col min="4" max="4" width="14.85546875" style="196" customWidth="1"/>
    <col min="5" max="5" width="28" style="196" customWidth="1"/>
    <col min="6" max="16384" width="28" style="196"/>
  </cols>
  <sheetData>
    <row r="1" spans="1:17" ht="22.5" customHeight="1">
      <c r="A1" s="449" t="s">
        <v>40</v>
      </c>
      <c r="B1" s="450"/>
      <c r="C1" s="450"/>
      <c r="D1" s="450"/>
      <c r="E1" s="450"/>
      <c r="F1" s="470"/>
      <c r="G1" s="198"/>
      <c r="H1" s="198"/>
      <c r="I1" s="198"/>
      <c r="J1" s="198"/>
      <c r="K1" s="198"/>
      <c r="L1" s="198"/>
      <c r="M1" s="198"/>
      <c r="N1" s="198"/>
      <c r="O1" s="219"/>
      <c r="P1" s="220"/>
      <c r="Q1" s="220"/>
    </row>
    <row r="2" spans="1:17" ht="22.5" customHeight="1">
      <c r="A2" s="199"/>
      <c r="F2" s="260"/>
    </row>
    <row r="3" spans="1:17" ht="22.5" customHeight="1">
      <c r="A3" s="200" t="s">
        <v>6</v>
      </c>
      <c r="B3" s="471" t="s">
        <v>3</v>
      </c>
      <c r="C3" s="471"/>
      <c r="D3" s="471"/>
      <c r="E3" s="471"/>
      <c r="F3" s="260"/>
    </row>
    <row r="4" spans="1:17" ht="22.5" customHeight="1">
      <c r="A4" s="200" t="s">
        <v>7</v>
      </c>
      <c r="B4" s="472">
        <f>Leitos!B4</f>
        <v>45778</v>
      </c>
      <c r="C4" s="472"/>
      <c r="D4" s="472"/>
      <c r="E4" s="472"/>
      <c r="F4" s="260"/>
    </row>
    <row r="5" spans="1:17" ht="22.5" customHeight="1">
      <c r="A5" s="199"/>
      <c r="F5" s="260"/>
    </row>
    <row r="6" spans="1:17" ht="22.5" customHeight="1">
      <c r="A6" s="473" t="s">
        <v>41</v>
      </c>
      <c r="B6" s="474"/>
      <c r="C6" s="474"/>
      <c r="D6" s="474"/>
      <c r="E6" s="474"/>
      <c r="F6" s="475"/>
    </row>
    <row r="7" spans="1:17" ht="22.5" customHeight="1">
      <c r="A7" s="476"/>
      <c r="B7" s="477"/>
      <c r="C7" s="477"/>
      <c r="D7" s="477"/>
      <c r="F7" s="298" t="s">
        <v>42</v>
      </c>
    </row>
    <row r="8" spans="1:17" ht="22.5" customHeight="1">
      <c r="A8" s="465" t="s">
        <v>43</v>
      </c>
      <c r="B8" s="466"/>
      <c r="C8" s="466"/>
      <c r="D8" s="466"/>
      <c r="E8" s="466"/>
      <c r="F8" s="299">
        <v>2937</v>
      </c>
    </row>
    <row r="9" spans="1:17" ht="22.5" customHeight="1">
      <c r="A9" s="465" t="s">
        <v>44</v>
      </c>
      <c r="B9" s="466"/>
      <c r="C9" s="466"/>
      <c r="D9" s="466"/>
      <c r="E9" s="466"/>
      <c r="F9" s="217">
        <v>506</v>
      </c>
    </row>
    <row r="10" spans="1:17" ht="22.5" customHeight="1">
      <c r="A10" s="467" t="s">
        <v>14</v>
      </c>
      <c r="B10" s="468"/>
      <c r="C10" s="468"/>
      <c r="D10" s="468"/>
      <c r="E10" s="300"/>
      <c r="F10" s="228">
        <f>SUM(F8:F9)</f>
        <v>3443</v>
      </c>
    </row>
    <row r="11" spans="1:17" ht="50.1" customHeight="1">
      <c r="A11" s="465" t="s">
        <v>45</v>
      </c>
      <c r="B11" s="466"/>
      <c r="C11" s="466"/>
      <c r="D11" s="466"/>
      <c r="E11" s="466"/>
      <c r="F11" s="469"/>
    </row>
    <row r="12" spans="1:17" ht="22.5" customHeight="1">
      <c r="A12" s="199"/>
      <c r="F12" s="260"/>
    </row>
    <row r="13" spans="1:17" ht="22.5" customHeight="1">
      <c r="A13" s="199"/>
      <c r="F13" s="260"/>
    </row>
    <row r="14" spans="1:17" ht="22.5" customHeight="1">
      <c r="A14" s="199"/>
      <c r="F14" s="260"/>
    </row>
    <row r="15" spans="1:17" ht="22.5" customHeight="1">
      <c r="A15" s="199"/>
      <c r="F15" s="260"/>
    </row>
    <row r="16" spans="1:17" ht="22.5" customHeight="1">
      <c r="A16" s="199"/>
      <c r="F16" s="260"/>
    </row>
    <row r="17" spans="1:6" ht="22.5" customHeight="1">
      <c r="A17" s="199"/>
      <c r="F17" s="260"/>
    </row>
    <row r="18" spans="1:6" ht="22.5" customHeight="1">
      <c r="A18" s="301"/>
      <c r="B18" s="300"/>
      <c r="C18" s="300"/>
      <c r="D18" s="300"/>
      <c r="E18" s="300"/>
      <c r="F18" s="262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zoomScaleNormal="100" zoomScaleSheetLayoutView="90" workbookViewId="0">
      <selection activeCell="F15" sqref="F15"/>
    </sheetView>
  </sheetViews>
  <sheetFormatPr defaultColWidth="28" defaultRowHeight="15"/>
  <cols>
    <col min="1" max="1" width="26.7109375" style="196" customWidth="1"/>
    <col min="2" max="2" width="13.28515625" style="196" customWidth="1"/>
    <col min="3" max="3" width="14.7109375" style="196" customWidth="1"/>
    <col min="4" max="4" width="19.28515625" style="196" customWidth="1"/>
    <col min="5" max="5" width="21" style="196" customWidth="1"/>
    <col min="6" max="6" width="19" style="196" customWidth="1"/>
    <col min="7" max="8" width="22.85546875" style="196" customWidth="1"/>
    <col min="9" max="9" width="19" style="196" customWidth="1"/>
    <col min="10" max="10" width="28" style="196" customWidth="1"/>
    <col min="11" max="16384" width="28" style="196"/>
  </cols>
  <sheetData>
    <row r="1" spans="1:22">
      <c r="A1" s="449" t="s">
        <v>5</v>
      </c>
      <c r="B1" s="450"/>
      <c r="C1" s="450"/>
      <c r="D1" s="450"/>
      <c r="E1" s="450"/>
      <c r="F1" s="450"/>
      <c r="G1" s="450"/>
      <c r="H1" s="450"/>
      <c r="I1" s="470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219"/>
      <c r="U1" s="220"/>
      <c r="V1" s="220"/>
    </row>
    <row r="2" spans="1:22">
      <c r="A2" s="199"/>
      <c r="I2" s="260"/>
    </row>
    <row r="3" spans="1:22">
      <c r="A3" s="200" t="s">
        <v>6</v>
      </c>
      <c r="B3" s="248" t="s">
        <v>3</v>
      </c>
      <c r="C3" s="248"/>
      <c r="D3" s="248"/>
      <c r="E3" s="249"/>
      <c r="F3" s="249"/>
      <c r="G3" s="272" t="s">
        <v>46</v>
      </c>
      <c r="H3" s="273">
        <v>6683134</v>
      </c>
      <c r="I3" s="260"/>
    </row>
    <row r="4" spans="1:22" ht="18" customHeight="1">
      <c r="A4" s="200" t="s">
        <v>7</v>
      </c>
      <c r="B4" s="274">
        <v>45778</v>
      </c>
      <c r="I4" s="260"/>
    </row>
    <row r="5" spans="1:22">
      <c r="A5" s="199"/>
      <c r="I5" s="260"/>
    </row>
    <row r="6" spans="1:22" ht="21" customHeight="1">
      <c r="A6" s="482" t="s">
        <v>47</v>
      </c>
      <c r="B6" s="483"/>
      <c r="C6" s="483"/>
      <c r="D6" s="483"/>
      <c r="E6" s="483"/>
      <c r="F6" s="483"/>
      <c r="G6" s="483"/>
      <c r="H6" s="483"/>
      <c r="I6" s="484"/>
    </row>
    <row r="7" spans="1:22" ht="30">
      <c r="A7" s="275" t="s">
        <v>9</v>
      </c>
      <c r="B7" s="276" t="s">
        <v>48</v>
      </c>
      <c r="C7" s="276" t="s">
        <v>49</v>
      </c>
      <c r="D7" s="276" t="s">
        <v>50</v>
      </c>
      <c r="E7" s="276" t="s">
        <v>51</v>
      </c>
      <c r="F7" s="276" t="s">
        <v>52</v>
      </c>
      <c r="G7" s="276" t="s">
        <v>53</v>
      </c>
      <c r="H7" s="276" t="s">
        <v>54</v>
      </c>
      <c r="I7" s="280" t="s">
        <v>55</v>
      </c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</row>
    <row r="8" spans="1:22">
      <c r="A8" s="256" t="s">
        <v>56</v>
      </c>
      <c r="B8" s="213">
        <f>289-57-7-1-6</f>
        <v>218</v>
      </c>
      <c r="C8" s="213">
        <v>7</v>
      </c>
      <c r="D8" s="213">
        <v>1</v>
      </c>
      <c r="E8" s="213">
        <v>6</v>
      </c>
      <c r="F8" s="277">
        <f>SUM(B8:E8)</f>
        <v>232</v>
      </c>
      <c r="G8" s="261" t="s">
        <v>57</v>
      </c>
      <c r="H8" s="255">
        <v>806</v>
      </c>
      <c r="I8" s="297">
        <v>726</v>
      </c>
    </row>
    <row r="9" spans="1:22">
      <c r="A9" s="256" t="s">
        <v>58</v>
      </c>
      <c r="B9" s="213">
        <f>264-19-23-9-21-1</f>
        <v>191</v>
      </c>
      <c r="C9" s="213">
        <v>23</v>
      </c>
      <c r="D9" s="213">
        <v>9</v>
      </c>
      <c r="E9" s="213">
        <v>21</v>
      </c>
      <c r="F9" s="277">
        <f>SUM(B9:E9)</f>
        <v>244</v>
      </c>
      <c r="G9" s="261" t="s">
        <v>57</v>
      </c>
      <c r="H9" s="255">
        <f>775+31</f>
        <v>806</v>
      </c>
      <c r="I9" s="297">
        <f>743+242</f>
        <v>985</v>
      </c>
    </row>
    <row r="10" spans="1:22">
      <c r="A10" s="256" t="s">
        <v>59</v>
      </c>
      <c r="B10" s="213">
        <f>19-5</f>
        <v>14</v>
      </c>
      <c r="C10" s="213">
        <v>0</v>
      </c>
      <c r="D10" s="213">
        <v>0</v>
      </c>
      <c r="E10" s="213">
        <v>5</v>
      </c>
      <c r="F10" s="277">
        <f t="shared" ref="F10:F12" si="0">SUM(B10:E10)</f>
        <v>19</v>
      </c>
      <c r="G10" s="261" t="s">
        <v>57</v>
      </c>
      <c r="H10" s="255">
        <v>195</v>
      </c>
      <c r="I10" s="297">
        <v>153</v>
      </c>
    </row>
    <row r="11" spans="1:22">
      <c r="A11" s="256" t="s">
        <v>60</v>
      </c>
      <c r="B11" s="213">
        <f>57-1</f>
        <v>56</v>
      </c>
      <c r="C11" s="213">
        <v>0</v>
      </c>
      <c r="D11" s="213">
        <v>0</v>
      </c>
      <c r="E11" s="213">
        <v>1</v>
      </c>
      <c r="F11" s="277">
        <f t="shared" si="0"/>
        <v>57</v>
      </c>
      <c r="G11" s="261" t="s">
        <v>57</v>
      </c>
      <c r="H11" s="255">
        <v>270</v>
      </c>
      <c r="I11" s="297">
        <v>230</v>
      </c>
    </row>
    <row r="12" spans="1:22">
      <c r="A12" s="256" t="s">
        <v>61</v>
      </c>
      <c r="B12" s="213">
        <f>110-2</f>
        <v>108</v>
      </c>
      <c r="C12" s="213">
        <v>2</v>
      </c>
      <c r="D12" s="213">
        <v>0</v>
      </c>
      <c r="E12" s="213">
        <v>0</v>
      </c>
      <c r="F12" s="277">
        <f t="shared" si="0"/>
        <v>110</v>
      </c>
      <c r="G12" s="261" t="s">
        <v>57</v>
      </c>
      <c r="H12" s="255">
        <f>465-186</f>
        <v>279</v>
      </c>
      <c r="I12" s="297">
        <f>399-269</f>
        <v>130</v>
      </c>
    </row>
    <row r="13" spans="1:22" ht="15.75" thickBot="1">
      <c r="A13" s="256" t="s">
        <v>62</v>
      </c>
      <c r="B13" s="213">
        <f>83-3</f>
        <v>80</v>
      </c>
      <c r="C13" s="213">
        <v>3</v>
      </c>
      <c r="D13" s="213">
        <v>0</v>
      </c>
      <c r="E13" s="213">
        <v>0</v>
      </c>
      <c r="F13" s="277">
        <f>SUM(B13:E13)</f>
        <v>83</v>
      </c>
      <c r="G13" s="261" t="s">
        <v>57</v>
      </c>
      <c r="H13" s="255">
        <v>186</v>
      </c>
      <c r="I13" s="297">
        <v>269</v>
      </c>
    </row>
    <row r="14" spans="1:22" ht="15.75" thickBot="1">
      <c r="A14" s="275" t="s">
        <v>63</v>
      </c>
      <c r="B14" s="278" t="s">
        <v>57</v>
      </c>
      <c r="C14" s="276">
        <v>0</v>
      </c>
      <c r="D14" s="276">
        <v>2</v>
      </c>
      <c r="E14" s="276">
        <v>12</v>
      </c>
      <c r="F14" s="411">
        <f>SUM(B14:E14)</f>
        <v>14</v>
      </c>
      <c r="G14" s="276">
        <v>30</v>
      </c>
      <c r="H14" s="276">
        <v>310</v>
      </c>
      <c r="I14" s="280">
        <v>300</v>
      </c>
    </row>
    <row r="15" spans="1:22" ht="15.75" thickBot="1">
      <c r="A15" s="226" t="s">
        <v>14</v>
      </c>
      <c r="B15" s="258">
        <f>SUM(B8:B13)</f>
        <v>667</v>
      </c>
      <c r="C15" s="258">
        <f>SUM(C8:C14)</f>
        <v>35</v>
      </c>
      <c r="D15" s="258">
        <f>SUM(D8:D14)</f>
        <v>12</v>
      </c>
      <c r="E15" s="258">
        <f>SUM(E8:E14)</f>
        <v>45</v>
      </c>
      <c r="F15" s="258">
        <f>SUM(F8:F14)</f>
        <v>759</v>
      </c>
      <c r="G15" s="258">
        <f>SUM(G14)</f>
        <v>30</v>
      </c>
      <c r="H15" s="258">
        <f>SUM(H8:H14)</f>
        <v>2852</v>
      </c>
      <c r="I15" s="259">
        <f>SUM(I8:I14)</f>
        <v>2793</v>
      </c>
    </row>
    <row r="16" spans="1:22" ht="41.1" customHeight="1">
      <c r="A16" s="485" t="s">
        <v>64</v>
      </c>
      <c r="B16" s="486"/>
      <c r="C16" s="486"/>
      <c r="D16" s="486"/>
      <c r="E16" s="486"/>
      <c r="F16" s="486"/>
      <c r="G16" s="486"/>
      <c r="H16" s="486"/>
      <c r="I16" s="487"/>
    </row>
    <row r="17" spans="1:9" ht="44.1" customHeight="1">
      <c r="A17" s="488" t="s">
        <v>65</v>
      </c>
      <c r="B17" s="489"/>
      <c r="D17" s="488" t="s">
        <v>66</v>
      </c>
      <c r="E17" s="489"/>
      <c r="G17"/>
      <c r="H17"/>
      <c r="I17" s="260"/>
    </row>
    <row r="18" spans="1:9" ht="15.75" thickBot="1">
      <c r="A18" s="279" t="s">
        <v>9</v>
      </c>
      <c r="B18" s="280" t="s">
        <v>67</v>
      </c>
      <c r="D18" s="279" t="s">
        <v>9</v>
      </c>
      <c r="E18" s="280" t="s">
        <v>68</v>
      </c>
      <c r="G18"/>
      <c r="H18"/>
      <c r="I18" s="260"/>
    </row>
    <row r="19" spans="1:9" ht="21" customHeight="1">
      <c r="A19" s="256" t="str">
        <f t="shared" ref="A19:A24" si="1">A8</f>
        <v>1. Clínica Cirúrgica</v>
      </c>
      <c r="B19" s="250">
        <v>2</v>
      </c>
      <c r="D19" s="256" t="str">
        <f t="shared" ref="D19:D24" si="2">A19</f>
        <v>1. Clínica Cirúrgica</v>
      </c>
      <c r="E19" s="250">
        <v>18</v>
      </c>
      <c r="G19"/>
      <c r="H19"/>
      <c r="I19" s="260"/>
    </row>
    <row r="20" spans="1:9">
      <c r="A20" s="256" t="str">
        <f t="shared" si="1"/>
        <v>2. Clínica Médica</v>
      </c>
      <c r="B20" s="217">
        <v>11</v>
      </c>
      <c r="D20" s="256" t="str">
        <f t="shared" si="2"/>
        <v>2. Clínica Médica</v>
      </c>
      <c r="E20" s="217">
        <v>12</v>
      </c>
      <c r="G20"/>
      <c r="H20"/>
      <c r="I20" s="260"/>
    </row>
    <row r="21" spans="1:9">
      <c r="A21" s="256" t="str">
        <f t="shared" si="1"/>
        <v>3. Oncologia Clínica</v>
      </c>
      <c r="B21" s="217">
        <v>0</v>
      </c>
      <c r="D21" s="256" t="str">
        <f t="shared" si="2"/>
        <v>3. Oncologia Clínica</v>
      </c>
      <c r="E21" s="217">
        <v>0</v>
      </c>
      <c r="G21"/>
      <c r="H21"/>
      <c r="I21" s="260"/>
    </row>
    <row r="22" spans="1:9" ht="30">
      <c r="A22" s="256" t="str">
        <f t="shared" si="1"/>
        <v>4. Oncologia Cirúrgica</v>
      </c>
      <c r="B22" s="217">
        <v>1</v>
      </c>
      <c r="D22" s="256" t="str">
        <f t="shared" si="2"/>
        <v>4. Oncologia Cirúrgica</v>
      </c>
      <c r="E22" s="217">
        <v>0</v>
      </c>
      <c r="G22"/>
      <c r="H22" s="356"/>
      <c r="I22" s="260"/>
    </row>
    <row r="23" spans="1:9" ht="30">
      <c r="A23" s="256" t="str">
        <f t="shared" si="1"/>
        <v>5. Clínica Gineco/Obstétrica</v>
      </c>
      <c r="B23" s="217">
        <v>0</v>
      </c>
      <c r="D23" s="256" t="str">
        <f t="shared" si="2"/>
        <v>5. Clínica Gineco/Obstétrica</v>
      </c>
      <c r="E23" s="217">
        <v>0</v>
      </c>
      <c r="G23"/>
      <c r="H23"/>
      <c r="I23" s="260"/>
    </row>
    <row r="24" spans="1:9">
      <c r="A24" s="256" t="str">
        <f t="shared" si="1"/>
        <v>6. Clínica Pediátrica</v>
      </c>
      <c r="B24" s="217">
        <v>0</v>
      </c>
      <c r="D24" s="256" t="str">
        <f t="shared" si="2"/>
        <v>6. Clínica Pediátrica</v>
      </c>
      <c r="E24" s="217">
        <v>0</v>
      </c>
      <c r="G24"/>
      <c r="H24"/>
      <c r="I24" s="260"/>
    </row>
    <row r="25" spans="1:9" ht="15.75" thickBot="1">
      <c r="A25" s="256" t="s">
        <v>69</v>
      </c>
      <c r="B25" s="217">
        <v>0</v>
      </c>
      <c r="D25" s="226" t="s">
        <v>14</v>
      </c>
      <c r="E25" s="228">
        <f>SUM(E19:E24)</f>
        <v>30</v>
      </c>
      <c r="G25"/>
      <c r="H25"/>
      <c r="I25" s="260"/>
    </row>
    <row r="26" spans="1:9" ht="18" customHeight="1" thickBot="1">
      <c r="A26" s="226" t="s">
        <v>14</v>
      </c>
      <c r="B26" s="228">
        <f>SUM(B19:B25)</f>
        <v>14</v>
      </c>
      <c r="E26" s="281" t="str">
        <f>IF(E25=G14,"OK","REVER")</f>
        <v>OK</v>
      </c>
      <c r="G26"/>
      <c r="H26"/>
      <c r="I26" s="260"/>
    </row>
    <row r="27" spans="1:9">
      <c r="A27" s="199"/>
      <c r="B27" s="281" t="str">
        <f>IF(B26=F14,"OK","REVER")</f>
        <v>OK</v>
      </c>
      <c r="D27"/>
      <c r="E27"/>
      <c r="F27"/>
      <c r="G27"/>
      <c r="H27"/>
      <c r="I27" s="260"/>
    </row>
    <row r="28" spans="1:9">
      <c r="A28" s="199"/>
      <c r="I28" s="260"/>
    </row>
    <row r="29" spans="1:9" ht="17.25" customHeight="1">
      <c r="A29" s="282" t="s">
        <v>70</v>
      </c>
      <c r="B29" s="478" t="s">
        <v>71</v>
      </c>
      <c r="C29" s="479"/>
      <c r="D29" s="478" t="s">
        <v>72</v>
      </c>
      <c r="E29" s="480"/>
      <c r="F29" s="481"/>
    </row>
    <row r="30" spans="1:9" ht="20.25" customHeight="1">
      <c r="A30" s="283"/>
      <c r="B30" s="284" t="s">
        <v>73</v>
      </c>
      <c r="C30" s="284" t="s">
        <v>74</v>
      </c>
      <c r="D30" s="284" t="s">
        <v>75</v>
      </c>
      <c r="E30" s="284" t="s">
        <v>76</v>
      </c>
      <c r="F30" s="285" t="s">
        <v>77</v>
      </c>
    </row>
    <row r="31" spans="1:9" ht="15" customHeight="1">
      <c r="A31" s="286" t="str">
        <f t="shared" ref="A31:A37" si="3">A8</f>
        <v>1. Clínica Cirúrgica</v>
      </c>
      <c r="B31" s="287">
        <f>F8</f>
        <v>232</v>
      </c>
      <c r="C31" s="288">
        <f>B31/$B$38</f>
        <v>0.30566534914360999</v>
      </c>
      <c r="D31" s="289">
        <f>H8</f>
        <v>806</v>
      </c>
      <c r="E31" s="290">
        <f t="shared" ref="E31:E36" si="4">I8/F8</f>
        <v>3.1293103448275863</v>
      </c>
      <c r="F31" s="291">
        <f>I8/H8</f>
        <v>0.90074441687344908</v>
      </c>
    </row>
    <row r="32" spans="1:9">
      <c r="A32" s="286" t="str">
        <f t="shared" si="3"/>
        <v>2. Clínica Médica</v>
      </c>
      <c r="B32" s="287">
        <f t="shared" ref="B32:B37" si="5">F9</f>
        <v>244</v>
      </c>
      <c r="C32" s="288">
        <f t="shared" ref="C32:C38" si="6">B32/$B$38</f>
        <v>0.3214756258234519</v>
      </c>
      <c r="D32" s="289">
        <f t="shared" ref="D32:D37" si="7">H9</f>
        <v>806</v>
      </c>
      <c r="E32" s="290">
        <f t="shared" si="4"/>
        <v>4.0368852459016393</v>
      </c>
      <c r="F32" s="291">
        <f t="shared" ref="F32:F38" si="8">I9/H9</f>
        <v>1.2220843672456576</v>
      </c>
    </row>
    <row r="33" spans="1:9" ht="14.25" customHeight="1">
      <c r="A33" s="286" t="str">
        <f t="shared" si="3"/>
        <v>3. Oncologia Clínica</v>
      </c>
      <c r="B33" s="287">
        <f t="shared" si="5"/>
        <v>19</v>
      </c>
      <c r="C33" s="288">
        <f t="shared" si="6"/>
        <v>2.5032938076416336E-2</v>
      </c>
      <c r="D33" s="289">
        <f t="shared" si="7"/>
        <v>195</v>
      </c>
      <c r="E33" s="290">
        <f t="shared" si="4"/>
        <v>8.0526315789473681</v>
      </c>
      <c r="F33" s="291">
        <f t="shared" si="8"/>
        <v>0.7846153846153846</v>
      </c>
    </row>
    <row r="34" spans="1:9" ht="14.25" customHeight="1">
      <c r="A34" s="286" t="str">
        <f t="shared" si="3"/>
        <v>4. Oncologia Cirúrgica</v>
      </c>
      <c r="B34" s="287">
        <f t="shared" si="5"/>
        <v>57</v>
      </c>
      <c r="C34" s="288">
        <f t="shared" si="6"/>
        <v>7.5098814229249009E-2</v>
      </c>
      <c r="D34" s="289">
        <f t="shared" si="7"/>
        <v>270</v>
      </c>
      <c r="E34" s="290">
        <f t="shared" si="4"/>
        <v>4.0350877192982457</v>
      </c>
      <c r="F34" s="291">
        <f t="shared" si="8"/>
        <v>0.85185185185185186</v>
      </c>
    </row>
    <row r="35" spans="1:9" ht="15" customHeight="1">
      <c r="A35" s="286" t="str">
        <f t="shared" si="3"/>
        <v>5. Clínica Gineco/Obstétrica</v>
      </c>
      <c r="B35" s="287">
        <f t="shared" si="5"/>
        <v>110</v>
      </c>
      <c r="C35" s="288">
        <f t="shared" si="6"/>
        <v>0.14492753623188406</v>
      </c>
      <c r="D35" s="289">
        <f t="shared" si="7"/>
        <v>279</v>
      </c>
      <c r="E35" s="290">
        <f t="shared" si="4"/>
        <v>1.1818181818181819</v>
      </c>
      <c r="F35" s="291">
        <f t="shared" si="8"/>
        <v>0.46594982078853048</v>
      </c>
    </row>
    <row r="36" spans="1:9">
      <c r="A36" s="286" t="str">
        <f t="shared" si="3"/>
        <v>6. Clínica Pediátrica</v>
      </c>
      <c r="B36" s="287">
        <f t="shared" si="5"/>
        <v>83</v>
      </c>
      <c r="C36" s="288">
        <f t="shared" si="6"/>
        <v>0.10935441370223979</v>
      </c>
      <c r="D36" s="289">
        <f t="shared" si="7"/>
        <v>186</v>
      </c>
      <c r="E36" s="290">
        <f t="shared" si="4"/>
        <v>3.2409638554216866</v>
      </c>
      <c r="F36" s="291">
        <f t="shared" si="8"/>
        <v>1.446236559139785</v>
      </c>
    </row>
    <row r="37" spans="1:9">
      <c r="A37" s="286" t="str">
        <f t="shared" si="3"/>
        <v>7. UTI Adulto</v>
      </c>
      <c r="B37" s="287">
        <f t="shared" si="5"/>
        <v>14</v>
      </c>
      <c r="C37" s="288">
        <f t="shared" si="6"/>
        <v>1.844532279314888E-2</v>
      </c>
      <c r="D37" s="289">
        <f t="shared" si="7"/>
        <v>310</v>
      </c>
      <c r="E37" s="418">
        <f>I14/(G14+F14)</f>
        <v>6.8181818181818183</v>
      </c>
      <c r="F37" s="291">
        <f t="shared" si="8"/>
        <v>0.967741935483871</v>
      </c>
    </row>
    <row r="38" spans="1:9">
      <c r="A38" s="292" t="s">
        <v>14</v>
      </c>
      <c r="B38" s="293">
        <f>SUM(B31:B37)</f>
        <v>759</v>
      </c>
      <c r="C38" s="288">
        <f t="shared" si="6"/>
        <v>1</v>
      </c>
      <c r="D38" s="294">
        <f>SUM(D31:D37)</f>
        <v>2852</v>
      </c>
      <c r="E38" s="293">
        <f>AVERAGE(E31:E37)</f>
        <v>4.3564112491995042</v>
      </c>
      <c r="F38" s="295">
        <f t="shared" si="8"/>
        <v>0.97931276297335201</v>
      </c>
    </row>
    <row r="39" spans="1:9">
      <c r="I39" s="260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1"/>
  <sheetViews>
    <sheetView showGridLines="0" showWhiteSpace="0" zoomScaleNormal="100" zoomScaleSheetLayoutView="100" zoomScalePageLayoutView="80" workbookViewId="0">
      <selection activeCell="G32" sqref="G32"/>
    </sheetView>
  </sheetViews>
  <sheetFormatPr defaultColWidth="28" defaultRowHeight="19.5" customHeight="1"/>
  <cols>
    <col min="1" max="1" width="39.28515625" style="196" customWidth="1"/>
    <col min="2" max="2" width="24.7109375" style="196" customWidth="1"/>
    <col min="3" max="3" width="18.28515625" style="196" customWidth="1"/>
    <col min="4" max="4" width="19.7109375" style="196" customWidth="1"/>
    <col min="5" max="5" width="20.42578125" style="196" customWidth="1"/>
    <col min="6" max="16384" width="28" style="196"/>
  </cols>
  <sheetData>
    <row r="1" spans="1:13" ht="19.5" customHeight="1">
      <c r="A1" s="449" t="s">
        <v>78</v>
      </c>
      <c r="B1" s="450"/>
      <c r="C1" s="450"/>
      <c r="D1" s="450"/>
      <c r="E1" s="470"/>
      <c r="F1" s="198"/>
      <c r="G1" s="198"/>
      <c r="H1" s="198"/>
      <c r="I1" s="198"/>
      <c r="J1" s="198"/>
      <c r="K1" s="219"/>
      <c r="L1" s="220"/>
      <c r="M1" s="220"/>
    </row>
    <row r="2" spans="1:13" ht="19.5" customHeight="1">
      <c r="A2" s="199"/>
    </row>
    <row r="3" spans="1:13" ht="19.5" customHeight="1">
      <c r="A3" s="200" t="s">
        <v>6</v>
      </c>
      <c r="B3" s="248" t="s">
        <v>3</v>
      </c>
      <c r="C3" s="249"/>
    </row>
    <row r="4" spans="1:13" ht="19.5" customHeight="1">
      <c r="A4" s="200" t="s">
        <v>7</v>
      </c>
      <c r="B4" s="201">
        <v>45778</v>
      </c>
    </row>
    <row r="5" spans="1:13" ht="19.5" customHeight="1">
      <c r="A5" s="199"/>
    </row>
    <row r="6" spans="1:13" ht="19.5" customHeight="1">
      <c r="A6" s="473" t="s">
        <v>79</v>
      </c>
      <c r="B6" s="474"/>
      <c r="C6" s="474"/>
      <c r="D6" s="474"/>
      <c r="E6" s="475"/>
    </row>
    <row r="7" spans="1:13" ht="18" customHeight="1">
      <c r="A7" s="494" t="s">
        <v>80</v>
      </c>
      <c r="B7" s="495"/>
      <c r="C7" s="495"/>
      <c r="D7" s="495"/>
      <c r="E7" s="496"/>
    </row>
    <row r="8" spans="1:13" ht="63" customHeight="1">
      <c r="A8" s="251" t="s">
        <v>81</v>
      </c>
      <c r="B8" s="252" t="s">
        <v>82</v>
      </c>
      <c r="C8" s="252" t="s">
        <v>83</v>
      </c>
      <c r="D8" s="252" t="s">
        <v>84</v>
      </c>
      <c r="E8" s="253" t="s">
        <v>14</v>
      </c>
    </row>
    <row r="9" spans="1:13" ht="19.5" customHeight="1">
      <c r="A9" s="199" t="s">
        <v>85</v>
      </c>
      <c r="B9" s="197">
        <v>42</v>
      </c>
      <c r="C9" s="197">
        <v>0</v>
      </c>
      <c r="D9" s="197">
        <v>59</v>
      </c>
      <c r="E9" s="254">
        <f>SUM(B9:D9)</f>
        <v>101</v>
      </c>
    </row>
    <row r="10" spans="1:13" ht="19.5" customHeight="1">
      <c r="A10" s="199" t="s">
        <v>86</v>
      </c>
      <c r="B10" s="197">
        <v>90</v>
      </c>
      <c r="C10" s="197">
        <v>0</v>
      </c>
      <c r="D10" s="197">
        <v>88</v>
      </c>
      <c r="E10" s="254">
        <f t="shared" ref="E10:E30" si="0">SUM(B10:D10)</f>
        <v>178</v>
      </c>
    </row>
    <row r="11" spans="1:13" ht="19.5" customHeight="1">
      <c r="A11" s="199" t="s">
        <v>87</v>
      </c>
      <c r="B11" s="197">
        <f>59+1</f>
        <v>60</v>
      </c>
      <c r="C11" s="197">
        <v>0</v>
      </c>
      <c r="D11" s="197">
        <f>52+62+4+3</f>
        <v>121</v>
      </c>
      <c r="E11" s="254">
        <f t="shared" si="0"/>
        <v>181</v>
      </c>
    </row>
    <row r="12" spans="1:13" ht="19.5" customHeight="1">
      <c r="A12" s="199" t="s">
        <v>88</v>
      </c>
      <c r="B12" s="255">
        <v>61</v>
      </c>
      <c r="C12" s="255">
        <v>0</v>
      </c>
      <c r="D12" s="255">
        <f>47+21</f>
        <v>68</v>
      </c>
      <c r="E12" s="254">
        <f t="shared" si="0"/>
        <v>129</v>
      </c>
    </row>
    <row r="13" spans="1:13" ht="19.5" customHeight="1">
      <c r="A13" s="199" t="s">
        <v>89</v>
      </c>
      <c r="B13" s="213">
        <v>0</v>
      </c>
      <c r="C13" s="213">
        <v>0</v>
      </c>
      <c r="D13" s="213">
        <v>4</v>
      </c>
      <c r="E13" s="254">
        <f t="shared" si="0"/>
        <v>4</v>
      </c>
    </row>
    <row r="14" spans="1:13" ht="19.5" customHeight="1">
      <c r="A14" s="199" t="s">
        <v>90</v>
      </c>
      <c r="B14" s="197">
        <v>13</v>
      </c>
      <c r="C14" s="197">
        <v>0</v>
      </c>
      <c r="D14" s="197">
        <v>13</v>
      </c>
      <c r="E14" s="254">
        <f t="shared" si="0"/>
        <v>26</v>
      </c>
    </row>
    <row r="15" spans="1:13" ht="19.5" customHeight="1">
      <c r="A15" s="199" t="s">
        <v>91</v>
      </c>
      <c r="B15" s="213">
        <v>19</v>
      </c>
      <c r="C15" s="213">
        <v>0</v>
      </c>
      <c r="D15" s="213">
        <v>21</v>
      </c>
      <c r="E15" s="254">
        <f t="shared" si="0"/>
        <v>40</v>
      </c>
    </row>
    <row r="16" spans="1:13" ht="19.5" customHeight="1">
      <c r="A16" s="199" t="s">
        <v>92</v>
      </c>
      <c r="B16" s="213">
        <v>12</v>
      </c>
      <c r="C16" s="213">
        <v>0</v>
      </c>
      <c r="D16" s="213">
        <v>15</v>
      </c>
      <c r="E16" s="254">
        <f t="shared" si="0"/>
        <v>27</v>
      </c>
    </row>
    <row r="17" spans="1:5" ht="15">
      <c r="A17" s="256" t="s">
        <v>93</v>
      </c>
      <c r="B17" s="197">
        <v>5</v>
      </c>
      <c r="C17" s="197">
        <v>0</v>
      </c>
      <c r="D17" s="197">
        <v>32</v>
      </c>
      <c r="E17" s="254">
        <f t="shared" si="0"/>
        <v>37</v>
      </c>
    </row>
    <row r="18" spans="1:5" ht="19.5" customHeight="1">
      <c r="A18" s="199" t="s">
        <v>94</v>
      </c>
      <c r="B18" s="197">
        <v>9</v>
      </c>
      <c r="C18" s="197">
        <v>0</v>
      </c>
      <c r="D18" s="197">
        <v>8</v>
      </c>
      <c r="E18" s="254">
        <f t="shared" si="0"/>
        <v>17</v>
      </c>
    </row>
    <row r="19" spans="1:5" ht="19.5" customHeight="1">
      <c r="A19" s="199" t="s">
        <v>95</v>
      </c>
      <c r="B19" s="197">
        <v>0</v>
      </c>
      <c r="C19" s="197">
        <v>0</v>
      </c>
      <c r="D19" s="197">
        <v>17</v>
      </c>
      <c r="E19" s="254">
        <f t="shared" si="0"/>
        <v>17</v>
      </c>
    </row>
    <row r="20" spans="1:5" ht="19.5" customHeight="1">
      <c r="A20" s="199" t="s">
        <v>96</v>
      </c>
      <c r="B20" s="197">
        <v>13</v>
      </c>
      <c r="C20" s="197">
        <v>0</v>
      </c>
      <c r="D20" s="197">
        <f>15+19+2</f>
        <v>36</v>
      </c>
      <c r="E20" s="254">
        <f t="shared" si="0"/>
        <v>49</v>
      </c>
    </row>
    <row r="21" spans="1:5" ht="19.5" customHeight="1">
      <c r="A21" s="199" t="s">
        <v>97</v>
      </c>
      <c r="B21" s="197">
        <v>215</v>
      </c>
      <c r="C21" s="197">
        <v>0</v>
      </c>
      <c r="D21" s="197">
        <f>163+16</f>
        <v>179</v>
      </c>
      <c r="E21" s="254">
        <f t="shared" si="0"/>
        <v>394</v>
      </c>
    </row>
    <row r="22" spans="1:5" ht="19.5" customHeight="1">
      <c r="A22" s="199" t="s">
        <v>98</v>
      </c>
      <c r="B22" s="197">
        <f>76+12</f>
        <v>88</v>
      </c>
      <c r="C22" s="197">
        <v>0</v>
      </c>
      <c r="D22" s="197">
        <f>280+345+1+1</f>
        <v>627</v>
      </c>
      <c r="E22" s="254">
        <f t="shared" si="0"/>
        <v>715</v>
      </c>
    </row>
    <row r="23" spans="1:5" ht="19.5" customHeight="1">
      <c r="A23" s="199" t="s">
        <v>99</v>
      </c>
      <c r="B23" s="197">
        <v>41</v>
      </c>
      <c r="C23" s="197">
        <v>0</v>
      </c>
      <c r="D23" s="197">
        <f>119+48</f>
        <v>167</v>
      </c>
      <c r="E23" s="254">
        <f t="shared" si="0"/>
        <v>208</v>
      </c>
    </row>
    <row r="24" spans="1:5" ht="19.5" customHeight="1">
      <c r="A24" s="199" t="s">
        <v>100</v>
      </c>
      <c r="B24" s="197">
        <v>240</v>
      </c>
      <c r="C24" s="197">
        <v>0</v>
      </c>
      <c r="D24" s="197">
        <f>35+188</f>
        <v>223</v>
      </c>
      <c r="E24" s="254">
        <f t="shared" si="0"/>
        <v>463</v>
      </c>
    </row>
    <row r="25" spans="1:5" ht="19.5" customHeight="1">
      <c r="A25" s="199" t="s">
        <v>101</v>
      </c>
      <c r="B25" s="197">
        <v>3</v>
      </c>
      <c r="C25" s="197">
        <v>0</v>
      </c>
      <c r="D25" s="197">
        <f>41+14</f>
        <v>55</v>
      </c>
      <c r="E25" s="254">
        <f t="shared" si="0"/>
        <v>58</v>
      </c>
    </row>
    <row r="26" spans="1:5" ht="19.5" customHeight="1">
      <c r="A26" s="199" t="s">
        <v>102</v>
      </c>
      <c r="B26" s="197">
        <v>23</v>
      </c>
      <c r="C26" s="197">
        <v>0</v>
      </c>
      <c r="D26" s="197">
        <v>11</v>
      </c>
      <c r="E26" s="254">
        <f t="shared" si="0"/>
        <v>34</v>
      </c>
    </row>
    <row r="27" spans="1:5" ht="19.5" customHeight="1">
      <c r="A27" s="199" t="s">
        <v>103</v>
      </c>
      <c r="B27" s="197">
        <v>0</v>
      </c>
      <c r="C27" s="197">
        <v>0</v>
      </c>
      <c r="D27" s="197">
        <v>56</v>
      </c>
      <c r="E27" s="254">
        <f t="shared" si="0"/>
        <v>56</v>
      </c>
    </row>
    <row r="28" spans="1:5" ht="19.5" customHeight="1">
      <c r="A28" s="199" t="s">
        <v>104</v>
      </c>
      <c r="B28" s="197">
        <v>10</v>
      </c>
      <c r="C28" s="197">
        <v>0</v>
      </c>
      <c r="D28" s="197">
        <v>24</v>
      </c>
      <c r="E28" s="254">
        <f t="shared" si="0"/>
        <v>34</v>
      </c>
    </row>
    <row r="29" spans="1:5" ht="19.5" customHeight="1">
      <c r="A29" s="199" t="s">
        <v>105</v>
      </c>
      <c r="B29" s="197">
        <v>10</v>
      </c>
      <c r="C29" s="197">
        <v>0</v>
      </c>
      <c r="D29" s="197">
        <v>16</v>
      </c>
      <c r="E29" s="254">
        <f t="shared" si="0"/>
        <v>26</v>
      </c>
    </row>
    <row r="30" spans="1:5" ht="15">
      <c r="A30" s="256" t="s">
        <v>106</v>
      </c>
      <c r="B30" s="197">
        <f>28</f>
        <v>28</v>
      </c>
      <c r="C30" s="197">
        <v>0</v>
      </c>
      <c r="D30" s="197">
        <f>14+11+3</f>
        <v>28</v>
      </c>
      <c r="E30" s="254">
        <f t="shared" si="0"/>
        <v>56</v>
      </c>
    </row>
    <row r="31" spans="1:5" ht="19.5" customHeight="1">
      <c r="A31" s="257" t="s">
        <v>14</v>
      </c>
      <c r="B31" s="258">
        <f>SUM(B9:B30)</f>
        <v>982</v>
      </c>
      <c r="C31" s="258">
        <f>SUM(C9:C30)</f>
        <v>0</v>
      </c>
      <c r="D31" s="258">
        <f>SUM(D9:D30)</f>
        <v>1868</v>
      </c>
      <c r="E31" s="259">
        <f>SUM(E9:E30)</f>
        <v>2850</v>
      </c>
    </row>
    <row r="32" spans="1:5" ht="21" customHeight="1">
      <c r="A32" s="199"/>
      <c r="E32" s="260"/>
    </row>
    <row r="33" spans="1:5" ht="20.100000000000001" customHeight="1">
      <c r="A33" s="497" t="s">
        <v>107</v>
      </c>
      <c r="B33" s="498"/>
      <c r="C33" s="498"/>
      <c r="D33" s="499"/>
      <c r="E33" s="260"/>
    </row>
    <row r="34" spans="1:5" ht="30.95" customHeight="1">
      <c r="A34" s="251" t="s">
        <v>81</v>
      </c>
      <c r="B34" s="252" t="s">
        <v>108</v>
      </c>
      <c r="C34" s="252" t="s">
        <v>109</v>
      </c>
      <c r="D34" s="253" t="s">
        <v>14</v>
      </c>
      <c r="E34" s="260"/>
    </row>
    <row r="35" spans="1:5" ht="45.95" customHeight="1">
      <c r="A35" s="256" t="s">
        <v>110</v>
      </c>
      <c r="B35" s="197">
        <v>20</v>
      </c>
      <c r="C35" s="197">
        <v>9</v>
      </c>
      <c r="D35" s="254">
        <f>SUM(B35:C35)</f>
        <v>29</v>
      </c>
      <c r="E35" s="260"/>
    </row>
    <row r="36" spans="1:5" ht="39.950000000000003" customHeight="1">
      <c r="A36" s="256" t="s">
        <v>111</v>
      </c>
      <c r="B36" s="261" t="s">
        <v>57</v>
      </c>
      <c r="C36" s="197">
        <v>501</v>
      </c>
      <c r="D36" s="254">
        <f>SUM(B36:C36)</f>
        <v>501</v>
      </c>
      <c r="E36" s="260"/>
    </row>
    <row r="37" spans="1:5" ht="19.5" customHeight="1">
      <c r="A37" s="257" t="s">
        <v>14</v>
      </c>
      <c r="B37" s="258">
        <f>SUM(B35:B36)</f>
        <v>20</v>
      </c>
      <c r="C37" s="258">
        <f>SUM(C35:C36)</f>
        <v>510</v>
      </c>
      <c r="D37" s="259">
        <f>SUM(D35:D36)</f>
        <v>530</v>
      </c>
      <c r="E37" s="260"/>
    </row>
    <row r="38" spans="1:5" ht="9" customHeight="1">
      <c r="A38" s="199"/>
      <c r="E38" s="260"/>
    </row>
    <row r="39" spans="1:5" ht="18" customHeight="1">
      <c r="A39" s="497" t="s">
        <v>112</v>
      </c>
      <c r="B39" s="498"/>
      <c r="C39" s="498"/>
      <c r="D39" s="499"/>
      <c r="E39" s="260"/>
    </row>
    <row r="40" spans="1:5" ht="27.95" customHeight="1">
      <c r="A40" s="251" t="s">
        <v>81</v>
      </c>
      <c r="B40" s="252" t="str">
        <f>B34</f>
        <v>Realizado Regulação**</v>
      </c>
      <c r="C40" s="252" t="str">
        <f>C34</f>
        <v>Agenda Interna</v>
      </c>
      <c r="D40" s="253" t="s">
        <v>14</v>
      </c>
      <c r="E40" s="260"/>
    </row>
    <row r="41" spans="1:5" ht="19.5" customHeight="1">
      <c r="A41" s="256" t="s">
        <v>113</v>
      </c>
      <c r="B41" s="197">
        <v>2</v>
      </c>
      <c r="C41" s="197">
        <v>7</v>
      </c>
      <c r="D41" s="254">
        <f>SUM(B41:C41)</f>
        <v>9</v>
      </c>
      <c r="E41" s="260"/>
    </row>
    <row r="42" spans="1:5" ht="19.5" customHeight="1">
      <c r="A42" s="199" t="s">
        <v>114</v>
      </c>
      <c r="B42" s="261" t="s">
        <v>57</v>
      </c>
      <c r="C42" s="197">
        <v>0</v>
      </c>
      <c r="D42" s="254">
        <f>SUM(B42:C42)</f>
        <v>0</v>
      </c>
      <c r="E42" s="260"/>
    </row>
    <row r="43" spans="1:5" ht="19.5" customHeight="1">
      <c r="A43" s="199" t="s">
        <v>115</v>
      </c>
      <c r="B43" s="261" t="s">
        <v>57</v>
      </c>
      <c r="C43" s="197">
        <v>10</v>
      </c>
      <c r="D43" s="254">
        <f>SUM(B43:C43)</f>
        <v>10</v>
      </c>
      <c r="E43" s="260"/>
    </row>
    <row r="44" spans="1:5" ht="19.5" customHeight="1">
      <c r="A44" s="199" t="s">
        <v>116</v>
      </c>
      <c r="B44" s="261" t="s">
        <v>57</v>
      </c>
      <c r="C44" s="197">
        <v>129</v>
      </c>
      <c r="D44" s="254">
        <f>SUM(B44:C44)</f>
        <v>129</v>
      </c>
      <c r="E44" s="260"/>
    </row>
    <row r="45" spans="1:5" ht="19.5" customHeight="1">
      <c r="A45" s="257" t="s">
        <v>14</v>
      </c>
      <c r="B45" s="258">
        <f>SUM(B41:B44)</f>
        <v>2</v>
      </c>
      <c r="C45" s="258">
        <f>SUM(C41:C44)</f>
        <v>146</v>
      </c>
      <c r="D45" s="259">
        <f>SUM(D41:D44)</f>
        <v>148</v>
      </c>
      <c r="E45" s="262"/>
    </row>
    <row r="46" spans="1:5" ht="19.5" customHeight="1">
      <c r="A46" s="199"/>
    </row>
    <row r="47" spans="1:5" ht="19.5" customHeight="1">
      <c r="A47" s="473" t="s">
        <v>117</v>
      </c>
      <c r="B47" s="474"/>
      <c r="C47" s="474"/>
      <c r="D47" s="474"/>
      <c r="E47" s="475"/>
    </row>
    <row r="48" spans="1:5" ht="19.5" customHeight="1">
      <c r="A48" s="488" t="s">
        <v>118</v>
      </c>
      <c r="B48" s="490"/>
      <c r="C48" s="490"/>
      <c r="D48" s="490"/>
      <c r="E48" s="489"/>
    </row>
    <row r="49" spans="1:5" ht="18.95" customHeight="1">
      <c r="A49" s="263"/>
      <c r="B49" s="264"/>
      <c r="C49" s="264"/>
      <c r="D49" s="265"/>
      <c r="E49" s="216"/>
    </row>
    <row r="50" spans="1:5" ht="84" customHeight="1">
      <c r="A50" s="266" t="s">
        <v>81</v>
      </c>
      <c r="B50" s="267" t="s">
        <v>119</v>
      </c>
      <c r="C50" s="267" t="s">
        <v>120</v>
      </c>
      <c r="D50" s="268" t="s">
        <v>121</v>
      </c>
      <c r="E50" s="269" t="s">
        <v>122</v>
      </c>
    </row>
    <row r="51" spans="1:5" ht="19.5" customHeight="1">
      <c r="A51" s="199" t="s">
        <v>86</v>
      </c>
      <c r="B51" s="197">
        <v>120</v>
      </c>
      <c r="C51" s="197">
        <v>106</v>
      </c>
      <c r="D51" s="197">
        <v>90</v>
      </c>
      <c r="E51" s="270">
        <f>C51-D51</f>
        <v>16</v>
      </c>
    </row>
    <row r="52" spans="1:5" ht="19.5" customHeight="1">
      <c r="A52" s="199" t="s">
        <v>87</v>
      </c>
      <c r="B52" s="197">
        <v>70</v>
      </c>
      <c r="C52" s="197">
        <v>63</v>
      </c>
      <c r="D52" s="197">
        <v>59</v>
      </c>
      <c r="E52" s="270">
        <f t="shared" ref="E52:E57" si="1">C52-D52</f>
        <v>4</v>
      </c>
    </row>
    <row r="53" spans="1:5" ht="19.5" customHeight="1">
      <c r="A53" s="199" t="s">
        <v>88</v>
      </c>
      <c r="B53" s="417">
        <v>110</v>
      </c>
      <c r="C53" s="417">
        <v>83</v>
      </c>
      <c r="D53" s="255">
        <v>61</v>
      </c>
      <c r="E53" s="270">
        <f t="shared" si="1"/>
        <v>22</v>
      </c>
    </row>
    <row r="54" spans="1:5" ht="19.5" customHeight="1">
      <c r="A54" s="199" t="s">
        <v>90</v>
      </c>
      <c r="B54" s="197">
        <v>15</v>
      </c>
      <c r="C54" s="197">
        <v>15</v>
      </c>
      <c r="D54" s="197">
        <v>13</v>
      </c>
      <c r="E54" s="270">
        <f t="shared" si="1"/>
        <v>2</v>
      </c>
    </row>
    <row r="55" spans="1:5" ht="19.5" customHeight="1">
      <c r="A55" s="199" t="s">
        <v>91</v>
      </c>
      <c r="B55" s="213">
        <v>25</v>
      </c>
      <c r="C55" s="213">
        <v>23</v>
      </c>
      <c r="D55" s="213">
        <v>19</v>
      </c>
      <c r="E55" s="270">
        <f t="shared" si="1"/>
        <v>4</v>
      </c>
    </row>
    <row r="56" spans="1:5" ht="19.5" customHeight="1">
      <c r="A56" s="199" t="s">
        <v>92</v>
      </c>
      <c r="B56" s="213">
        <v>15</v>
      </c>
      <c r="C56" s="213">
        <v>14</v>
      </c>
      <c r="D56" s="213">
        <v>12</v>
      </c>
      <c r="E56" s="270">
        <f t="shared" si="1"/>
        <v>2</v>
      </c>
    </row>
    <row r="57" spans="1:5" ht="19.5" customHeight="1">
      <c r="A57" s="256" t="s">
        <v>93</v>
      </c>
      <c r="B57" s="197">
        <v>5</v>
      </c>
      <c r="C57" s="197">
        <v>5</v>
      </c>
      <c r="D57" s="197">
        <v>5</v>
      </c>
      <c r="E57" s="270">
        <f t="shared" si="1"/>
        <v>0</v>
      </c>
    </row>
    <row r="58" spans="1:5" ht="19.5" customHeight="1">
      <c r="A58" s="199" t="s">
        <v>95</v>
      </c>
      <c r="B58" s="197">
        <v>0</v>
      </c>
      <c r="C58" s="197">
        <v>0</v>
      </c>
      <c r="D58" s="197">
        <v>0</v>
      </c>
      <c r="E58" s="270">
        <f>C58-D58</f>
        <v>0</v>
      </c>
    </row>
    <row r="59" spans="1:5" ht="19.5" customHeight="1">
      <c r="A59" s="199" t="s">
        <v>96</v>
      </c>
      <c r="B59" s="197">
        <v>25</v>
      </c>
      <c r="C59" s="197">
        <v>20</v>
      </c>
      <c r="D59" s="197">
        <v>13</v>
      </c>
      <c r="E59" s="270">
        <f>C59-D59</f>
        <v>7</v>
      </c>
    </row>
    <row r="60" spans="1:5" ht="19.5" customHeight="1">
      <c r="A60" s="199" t="s">
        <v>97</v>
      </c>
      <c r="B60" s="197">
        <v>320</v>
      </c>
      <c r="C60" s="197">
        <v>261</v>
      </c>
      <c r="D60" s="197">
        <v>215</v>
      </c>
      <c r="E60" s="270">
        <f>C60-D60</f>
        <v>46</v>
      </c>
    </row>
    <row r="61" spans="1:5" ht="19.5" customHeight="1">
      <c r="A61" s="199" t="s">
        <v>123</v>
      </c>
      <c r="B61" s="197">
        <v>135</v>
      </c>
      <c r="C61" s="197">
        <v>126</v>
      </c>
      <c r="D61" s="197">
        <v>115</v>
      </c>
      <c r="E61" s="270">
        <f>C61-D61</f>
        <v>11</v>
      </c>
    </row>
    <row r="62" spans="1:5" ht="19.5" customHeight="1">
      <c r="A62" s="199" t="s">
        <v>100</v>
      </c>
      <c r="B62" s="197">
        <v>303</v>
      </c>
      <c r="C62" s="197">
        <v>293</v>
      </c>
      <c r="D62" s="197">
        <v>240</v>
      </c>
      <c r="E62" s="270">
        <f t="shared" ref="E62:E67" si="2">C62-D62</f>
        <v>53</v>
      </c>
    </row>
    <row r="63" spans="1:5" ht="19.5" customHeight="1">
      <c r="A63" s="199" t="s">
        <v>101</v>
      </c>
      <c r="B63" s="197">
        <v>0</v>
      </c>
      <c r="C63" s="197">
        <v>0</v>
      </c>
      <c r="D63" s="197">
        <v>3</v>
      </c>
      <c r="E63" s="270">
        <f t="shared" si="2"/>
        <v>-3</v>
      </c>
    </row>
    <row r="64" spans="1:5" ht="19.5" customHeight="1">
      <c r="A64" s="199" t="s">
        <v>102</v>
      </c>
      <c r="B64" s="197">
        <v>25</v>
      </c>
      <c r="C64" s="197">
        <v>25</v>
      </c>
      <c r="D64" s="197">
        <v>23</v>
      </c>
      <c r="E64" s="270">
        <f t="shared" si="2"/>
        <v>2</v>
      </c>
    </row>
    <row r="65" spans="1:5" ht="19.5" customHeight="1">
      <c r="A65" s="235" t="s">
        <v>104</v>
      </c>
      <c r="B65" s="197">
        <v>10</v>
      </c>
      <c r="C65" s="197">
        <v>10</v>
      </c>
      <c r="D65" s="197">
        <v>10</v>
      </c>
      <c r="E65" s="270">
        <f t="shared" si="2"/>
        <v>0</v>
      </c>
    </row>
    <row r="66" spans="1:5" ht="19.5" customHeight="1">
      <c r="A66" s="199" t="s">
        <v>105</v>
      </c>
      <c r="B66" s="281">
        <v>15</v>
      </c>
      <c r="C66" s="197">
        <v>15</v>
      </c>
      <c r="D66" s="197">
        <v>10</v>
      </c>
      <c r="E66" s="270">
        <f t="shared" si="2"/>
        <v>5</v>
      </c>
    </row>
    <row r="67" spans="1:5" ht="19.5" customHeight="1">
      <c r="A67" s="256" t="s">
        <v>106</v>
      </c>
      <c r="B67" s="281">
        <v>35</v>
      </c>
      <c r="C67" s="197">
        <v>35</v>
      </c>
      <c r="D67" s="197">
        <v>27</v>
      </c>
      <c r="E67" s="270">
        <f t="shared" si="2"/>
        <v>8</v>
      </c>
    </row>
    <row r="68" spans="1:5" ht="19.5" customHeight="1">
      <c r="A68" s="257" t="s">
        <v>14</v>
      </c>
      <c r="B68" s="258">
        <f>SUM(B51:B67)</f>
        <v>1228</v>
      </c>
      <c r="C68" s="258">
        <f>SUM(C51:C67)</f>
        <v>1094</v>
      </c>
      <c r="D68" s="258">
        <f>SUM(D51:D67)</f>
        <v>915</v>
      </c>
      <c r="E68" s="259">
        <f>SUM(E51:E67)</f>
        <v>179</v>
      </c>
    </row>
    <row r="69" spans="1:5" ht="19.5" customHeight="1">
      <c r="A69" s="199"/>
      <c r="D69" s="197"/>
      <c r="E69" s="260"/>
    </row>
    <row r="70" spans="1:5" ht="19.5" customHeight="1">
      <c r="A70" s="491" t="s">
        <v>124</v>
      </c>
      <c r="B70" s="492"/>
      <c r="C70" s="492"/>
      <c r="D70" s="492"/>
      <c r="E70" s="493"/>
    </row>
    <row r="71" spans="1:5" ht="104.1" customHeight="1">
      <c r="A71" s="251" t="s">
        <v>81</v>
      </c>
      <c r="B71" s="252" t="str">
        <f>B50</f>
        <v>Nº de Consultas disponibilizadas para Regulação</v>
      </c>
      <c r="C71" s="252" t="str">
        <f>C50</f>
        <v>Nº de Consultas agendadas com os pacientes oriundos da Regulação</v>
      </c>
      <c r="D71" s="252" t="str">
        <f>D50</f>
        <v>Nº de Consultas Realizadas com os pacientes oriundos da Regulação**</v>
      </c>
      <c r="E71" s="271" t="str">
        <f>E50</f>
        <v>Nº de Pacientes Faltantes oriundos do agendamento da Regulação</v>
      </c>
    </row>
    <row r="72" spans="1:5" ht="51" customHeight="1">
      <c r="A72" s="256" t="s">
        <v>110</v>
      </c>
      <c r="B72" s="197">
        <v>30</v>
      </c>
      <c r="C72" s="197">
        <v>15</v>
      </c>
      <c r="D72" s="197">
        <v>8</v>
      </c>
      <c r="E72" s="270">
        <f>C72-D72</f>
        <v>7</v>
      </c>
    </row>
    <row r="73" spans="1:5" ht="19.5" customHeight="1">
      <c r="A73" s="257" t="s">
        <v>14</v>
      </c>
      <c r="B73" s="258">
        <f>SUM(B72:B72)</f>
        <v>30</v>
      </c>
      <c r="C73" s="258">
        <f>SUM(C72:C72)</f>
        <v>15</v>
      </c>
      <c r="D73" s="258">
        <f>SUM(D72:D72)</f>
        <v>8</v>
      </c>
      <c r="E73" s="259">
        <f>SUM(E72:E72)</f>
        <v>7</v>
      </c>
    </row>
    <row r="74" spans="1:5" ht="19.5" customHeight="1">
      <c r="A74" s="199"/>
      <c r="E74" s="260"/>
    </row>
    <row r="75" spans="1:5" ht="19.5" customHeight="1">
      <c r="A75" s="491" t="s">
        <v>125</v>
      </c>
      <c r="B75" s="492"/>
      <c r="C75" s="492"/>
      <c r="D75" s="492"/>
      <c r="E75" s="493"/>
    </row>
    <row r="76" spans="1:5" ht="90" customHeight="1">
      <c r="A76" s="251" t="s">
        <v>81</v>
      </c>
      <c r="B76" s="252" t="str">
        <f>B71</f>
        <v>Nº de Consultas disponibilizadas para Regulação</v>
      </c>
      <c r="C76" s="252" t="str">
        <f>C71</f>
        <v>Nº de Consultas agendadas com os pacientes oriundos da Regulação</v>
      </c>
      <c r="D76" s="252" t="str">
        <f>D71</f>
        <v>Nº de Consultas Realizadas com os pacientes oriundos da Regulação**</v>
      </c>
      <c r="E76" s="271" t="str">
        <f>E71</f>
        <v>Nº de Pacientes Faltantes oriundos do agendamento da Regulação</v>
      </c>
    </row>
    <row r="77" spans="1:5" ht="19.5" customHeight="1">
      <c r="A77" s="256" t="s">
        <v>113</v>
      </c>
      <c r="B77" s="197">
        <v>3</v>
      </c>
      <c r="C77" s="197">
        <v>3</v>
      </c>
      <c r="D77" s="197">
        <v>2</v>
      </c>
      <c r="E77" s="270">
        <f>C77-D77</f>
        <v>1</v>
      </c>
    </row>
    <row r="78" spans="1:5" ht="19.5" customHeight="1">
      <c r="A78" s="257" t="s">
        <v>14</v>
      </c>
      <c r="B78" s="258">
        <f>SUM(B77:B77)</f>
        <v>3</v>
      </c>
      <c r="C78" s="258">
        <f>SUM(C77:C77)</f>
        <v>3</v>
      </c>
      <c r="D78" s="258">
        <f>SUM(D77:D77)</f>
        <v>2</v>
      </c>
      <c r="E78" s="259">
        <f>SUM(E77:E77)</f>
        <v>1</v>
      </c>
    </row>
    <row r="81" spans="1:1" ht="51" customHeight="1">
      <c r="A81" s="196" t="s">
        <v>820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zoomScaleNormal="100" zoomScaleSheetLayoutView="100" workbookViewId="0">
      <selection activeCell="I25" sqref="I25"/>
    </sheetView>
  </sheetViews>
  <sheetFormatPr defaultColWidth="28" defaultRowHeight="18" customHeight="1"/>
  <cols>
    <col min="1" max="1" width="30.85546875" style="196" customWidth="1"/>
    <col min="2" max="2" width="14.7109375" style="196" customWidth="1"/>
    <col min="3" max="3" width="18.28515625" style="196" customWidth="1"/>
    <col min="4" max="4" width="22.5703125" style="196" customWidth="1"/>
    <col min="5" max="16384" width="28" style="196"/>
  </cols>
  <sheetData>
    <row r="1" spans="1:15" ht="19.5" customHeight="1">
      <c r="A1" s="500" t="s">
        <v>126</v>
      </c>
      <c r="B1" s="501"/>
      <c r="C1" s="501"/>
      <c r="D1" s="501"/>
      <c r="E1" s="501"/>
      <c r="F1" s="501"/>
      <c r="G1" s="198"/>
      <c r="H1" s="198"/>
      <c r="I1" s="198"/>
      <c r="J1" s="198"/>
      <c r="K1" s="198"/>
      <c r="L1" s="198"/>
      <c r="M1" s="219"/>
      <c r="N1" s="220"/>
      <c r="O1" s="220"/>
    </row>
    <row r="2" spans="1:15" ht="18" customHeight="1">
      <c r="A2" s="199"/>
    </row>
    <row r="3" spans="1:15" ht="18" customHeight="1">
      <c r="A3" s="200" t="s">
        <v>6</v>
      </c>
      <c r="B3" s="471" t="s">
        <v>3</v>
      </c>
      <c r="C3" s="471"/>
      <c r="D3" s="471"/>
    </row>
    <row r="4" spans="1:15" ht="18" customHeight="1">
      <c r="A4" s="200" t="s">
        <v>7</v>
      </c>
      <c r="B4" s="472">
        <v>45778</v>
      </c>
      <c r="C4" s="472"/>
      <c r="D4" s="472"/>
    </row>
    <row r="6" spans="1:15" ht="18" customHeight="1">
      <c r="A6" s="473" t="s">
        <v>127</v>
      </c>
      <c r="B6" s="474"/>
      <c r="C6" s="474"/>
      <c r="D6" s="475"/>
    </row>
    <row r="7" spans="1:15" ht="48" customHeight="1">
      <c r="A7" s="221"/>
      <c r="B7" s="222" t="s">
        <v>128</v>
      </c>
      <c r="C7" s="222" t="s">
        <v>129</v>
      </c>
      <c r="D7" s="223" t="s">
        <v>507</v>
      </c>
    </row>
    <row r="8" spans="1:15" ht="18" customHeight="1">
      <c r="A8" s="224" t="s">
        <v>130</v>
      </c>
      <c r="B8" s="197">
        <v>67</v>
      </c>
      <c r="C8" s="197">
        <v>33</v>
      </c>
      <c r="D8" s="225">
        <f>SUM(B8:C8)</f>
        <v>100</v>
      </c>
    </row>
    <row r="9" spans="1:15" ht="18" customHeight="1">
      <c r="A9" s="224" t="s">
        <v>131</v>
      </c>
      <c r="B9" s="197">
        <v>221</v>
      </c>
      <c r="C9" s="197">
        <v>17</v>
      </c>
      <c r="D9" s="225">
        <f t="shared" ref="D9:D15" si="0">SUM(B9:C9)</f>
        <v>238</v>
      </c>
    </row>
    <row r="10" spans="1:15" ht="18" customHeight="1">
      <c r="A10" s="224" t="s">
        <v>132</v>
      </c>
      <c r="B10" s="197">
        <v>0</v>
      </c>
      <c r="C10" s="197">
        <v>1071</v>
      </c>
      <c r="D10" s="225">
        <f t="shared" si="0"/>
        <v>1071</v>
      </c>
    </row>
    <row r="11" spans="1:15" ht="18" customHeight="1">
      <c r="A11" s="224" t="s">
        <v>133</v>
      </c>
      <c r="B11" s="197">
        <v>208</v>
      </c>
      <c r="C11" s="197">
        <v>15</v>
      </c>
      <c r="D11" s="225">
        <f t="shared" si="0"/>
        <v>223</v>
      </c>
    </row>
    <row r="12" spans="1:15" ht="18" customHeight="1">
      <c r="A12" s="224" t="s">
        <v>134</v>
      </c>
      <c r="B12" s="197">
        <v>868</v>
      </c>
      <c r="C12" s="197">
        <v>312</v>
      </c>
      <c r="D12" s="225">
        <f t="shared" si="0"/>
        <v>1180</v>
      </c>
    </row>
    <row r="13" spans="1:15" ht="18" customHeight="1">
      <c r="A13" s="224" t="s">
        <v>135</v>
      </c>
      <c r="B13" s="197">
        <v>8</v>
      </c>
      <c r="C13" s="197">
        <v>0</v>
      </c>
      <c r="D13" s="225">
        <f t="shared" si="0"/>
        <v>8</v>
      </c>
    </row>
    <row r="14" spans="1:15" ht="18" customHeight="1">
      <c r="A14" s="224" t="s">
        <v>136</v>
      </c>
      <c r="B14" s="197">
        <v>149</v>
      </c>
      <c r="C14" s="197">
        <v>332</v>
      </c>
      <c r="D14" s="225">
        <f>SUM(B14:C14)</f>
        <v>481</v>
      </c>
    </row>
    <row r="15" spans="1:15" ht="18" customHeight="1">
      <c r="A15" s="224" t="s">
        <v>137</v>
      </c>
      <c r="B15" s="197">
        <v>377</v>
      </c>
      <c r="C15" s="197">
        <v>148</v>
      </c>
      <c r="D15" s="225">
        <f t="shared" si="0"/>
        <v>525</v>
      </c>
    </row>
    <row r="16" spans="1:15" ht="18" customHeight="1">
      <c r="A16" s="226" t="s">
        <v>14</v>
      </c>
      <c r="B16" s="227">
        <f>SUM(B8:B15)</f>
        <v>1898</v>
      </c>
      <c r="C16" s="227">
        <f>SUM(C8:C15)</f>
        <v>1928</v>
      </c>
      <c r="D16" s="228">
        <f>SUM(D8:D15)</f>
        <v>3826</v>
      </c>
    </row>
    <row r="17" spans="1:6" ht="57.95" customHeight="1">
      <c r="A17" s="502" t="s">
        <v>138</v>
      </c>
      <c r="B17" s="502"/>
      <c r="C17" s="502"/>
      <c r="D17" s="502"/>
    </row>
    <row r="18" spans="1:6" ht="15" customHeight="1">
      <c r="A18" s="229"/>
      <c r="B18" s="229"/>
      <c r="C18" s="229"/>
      <c r="D18" s="229"/>
    </row>
    <row r="19" spans="1:6" ht="15" customHeight="1">
      <c r="A19" s="503" t="s">
        <v>139</v>
      </c>
      <c r="B19" s="504"/>
      <c r="C19" s="504"/>
      <c r="D19" s="504"/>
      <c r="E19" s="504"/>
      <c r="F19" s="505"/>
    </row>
    <row r="20" spans="1:6" ht="15" customHeight="1">
      <c r="A20" s="517" t="s">
        <v>81</v>
      </c>
      <c r="B20" s="518"/>
      <c r="C20" s="508" t="s">
        <v>521</v>
      </c>
      <c r="D20" s="508" t="s">
        <v>522</v>
      </c>
      <c r="E20" s="508" t="s">
        <v>523</v>
      </c>
      <c r="F20" s="510" t="s">
        <v>140</v>
      </c>
    </row>
    <row r="21" spans="1:6" ht="32.1" customHeight="1">
      <c r="A21" s="519"/>
      <c r="B21" s="520"/>
      <c r="C21" s="509"/>
      <c r="D21" s="509"/>
      <c r="E21" s="509"/>
      <c r="F21" s="511"/>
    </row>
    <row r="22" spans="1:6" ht="15" customHeight="1">
      <c r="A22" s="506" t="str">
        <f>A8</f>
        <v>Colonoscopia</v>
      </c>
      <c r="B22" s="507"/>
      <c r="C22" s="230">
        <v>100</v>
      </c>
      <c r="D22" s="230">
        <v>81</v>
      </c>
      <c r="E22" s="230">
        <v>67</v>
      </c>
      <c r="F22" s="231">
        <f>D22-E22</f>
        <v>14</v>
      </c>
    </row>
    <row r="23" spans="1:6" ht="15" customHeight="1">
      <c r="A23" s="506" t="str">
        <f t="shared" ref="A23:A30" si="1">A9</f>
        <v>Endoscopia</v>
      </c>
      <c r="B23" s="507"/>
      <c r="C23" s="357">
        <v>250</v>
      </c>
      <c r="D23" s="357">
        <v>244</v>
      </c>
      <c r="E23" s="357">
        <v>221</v>
      </c>
      <c r="F23" s="231">
        <f t="shared" ref="F23:F29" si="2">D23-E23</f>
        <v>23</v>
      </c>
    </row>
    <row r="24" spans="1:6" ht="15" customHeight="1">
      <c r="A24" s="506" t="str">
        <f t="shared" si="1"/>
        <v>Exames de Anatomia Patológica</v>
      </c>
      <c r="B24" s="507"/>
      <c r="C24" s="230">
        <v>0</v>
      </c>
      <c r="D24" s="230">
        <v>0</v>
      </c>
      <c r="E24" s="230">
        <v>0</v>
      </c>
      <c r="F24" s="231">
        <f t="shared" si="2"/>
        <v>0</v>
      </c>
    </row>
    <row r="25" spans="1:6" ht="15" customHeight="1">
      <c r="A25" s="506" t="str">
        <f t="shared" si="1"/>
        <v>Mamografia</v>
      </c>
      <c r="B25" s="507"/>
      <c r="C25" s="230">
        <v>250</v>
      </c>
      <c r="D25" s="230">
        <v>238</v>
      </c>
      <c r="E25" s="230">
        <v>208</v>
      </c>
      <c r="F25" s="231">
        <f t="shared" si="2"/>
        <v>30</v>
      </c>
    </row>
    <row r="26" spans="1:6" ht="15" customHeight="1">
      <c r="A26" s="506" t="str">
        <f t="shared" si="1"/>
        <v>Radiologia</v>
      </c>
      <c r="B26" s="507"/>
      <c r="C26" s="230">
        <v>1000</v>
      </c>
      <c r="D26" s="230">
        <v>1000</v>
      </c>
      <c r="E26" s="230">
        <v>868</v>
      </c>
      <c r="F26" s="231">
        <f t="shared" si="2"/>
        <v>132</v>
      </c>
    </row>
    <row r="27" spans="1:6" ht="15" customHeight="1">
      <c r="A27" s="506" t="str">
        <f t="shared" si="1"/>
        <v>Retinografia Colorida Binocular</v>
      </c>
      <c r="B27" s="507"/>
      <c r="C27" s="230">
        <v>10</v>
      </c>
      <c r="D27" s="230">
        <v>9</v>
      </c>
      <c r="E27" s="230">
        <v>8</v>
      </c>
      <c r="F27" s="231">
        <f t="shared" si="2"/>
        <v>1</v>
      </c>
    </row>
    <row r="28" spans="1:6" ht="15" customHeight="1">
      <c r="A28" s="506" t="str">
        <f t="shared" si="1"/>
        <v>Tomografia/Angiotomografia</v>
      </c>
      <c r="B28" s="507"/>
      <c r="C28" s="230">
        <v>210</v>
      </c>
      <c r="D28" s="230">
        <v>173</v>
      </c>
      <c r="E28" s="230">
        <v>149</v>
      </c>
      <c r="F28" s="231">
        <f t="shared" si="2"/>
        <v>24</v>
      </c>
    </row>
    <row r="29" spans="1:6" ht="15" customHeight="1">
      <c r="A29" s="506" t="str">
        <f t="shared" si="1"/>
        <v>Ultrassonografia</v>
      </c>
      <c r="B29" s="507"/>
      <c r="C29" s="230">
        <v>600</v>
      </c>
      <c r="D29" s="357">
        <v>443</v>
      </c>
      <c r="E29" s="230">
        <v>377</v>
      </c>
      <c r="F29" s="231">
        <f t="shared" si="2"/>
        <v>66</v>
      </c>
    </row>
    <row r="30" spans="1:6" ht="15" customHeight="1">
      <c r="A30" s="521" t="str">
        <f t="shared" si="1"/>
        <v>Total</v>
      </c>
      <c r="B30" s="522"/>
      <c r="C30" s="227">
        <f>SUM(C22:C29)</f>
        <v>2420</v>
      </c>
      <c r="D30" s="227">
        <f>SUM(D22:D29)</f>
        <v>2188</v>
      </c>
      <c r="E30" s="227">
        <f>SUM(E22:E29)</f>
        <v>1898</v>
      </c>
      <c r="F30" s="228">
        <f>SUM(F22:F29)</f>
        <v>290</v>
      </c>
    </row>
    <row r="31" spans="1:6" ht="15" customHeight="1">
      <c r="A31" s="506"/>
      <c r="B31" s="507"/>
      <c r="C31" s="229"/>
      <c r="D31" s="229"/>
    </row>
    <row r="32" spans="1:6" ht="18" customHeight="1">
      <c r="A32" s="512" t="s">
        <v>141</v>
      </c>
      <c r="B32" s="513"/>
      <c r="C32" s="513"/>
      <c r="D32" s="514"/>
    </row>
    <row r="33" spans="1:5" ht="18" customHeight="1">
      <c r="A33" s="232"/>
      <c r="B33" s="233"/>
      <c r="C33" s="233"/>
      <c r="D33" s="234" t="s">
        <v>142</v>
      </c>
    </row>
    <row r="34" spans="1:5" ht="18" customHeight="1">
      <c r="A34" s="235" t="s">
        <v>143</v>
      </c>
      <c r="B34" s="233"/>
      <c r="C34" s="233"/>
      <c r="D34" s="236">
        <v>386</v>
      </c>
    </row>
    <row r="35" spans="1:5" ht="18" customHeight="1">
      <c r="A35" s="235" t="s">
        <v>144</v>
      </c>
      <c r="B35" s="233"/>
      <c r="C35" s="233"/>
      <c r="D35" s="236">
        <v>343</v>
      </c>
    </row>
    <row r="36" spans="1:5" ht="18" customHeight="1">
      <c r="A36" s="235" t="s">
        <v>145</v>
      </c>
      <c r="B36" s="233"/>
      <c r="C36" s="233"/>
      <c r="D36" s="236">
        <v>3</v>
      </c>
    </row>
    <row r="37" spans="1:5" ht="18" customHeight="1">
      <c r="A37" s="235" t="s">
        <v>146</v>
      </c>
      <c r="B37" s="233"/>
      <c r="C37" s="233"/>
      <c r="D37" s="236">
        <v>15</v>
      </c>
    </row>
    <row r="38" spans="1:5" ht="18" customHeight="1">
      <c r="A38" s="235" t="s">
        <v>147</v>
      </c>
      <c r="B38" s="233"/>
      <c r="C38" s="233"/>
      <c r="D38" s="236">
        <v>0</v>
      </c>
      <c r="E38" s="237"/>
    </row>
    <row r="39" spans="1:5" ht="18" customHeight="1">
      <c r="A39" s="235" t="s">
        <v>148</v>
      </c>
      <c r="B39" s="233"/>
      <c r="C39" s="233"/>
      <c r="D39" s="238">
        <v>488</v>
      </c>
    </row>
    <row r="40" spans="1:5" ht="18" customHeight="1">
      <c r="A40" s="235" t="s">
        <v>149</v>
      </c>
      <c r="B40" s="233"/>
      <c r="C40" s="233"/>
      <c r="D40" s="218">
        <v>203</v>
      </c>
    </row>
    <row r="41" spans="1:5" ht="18" customHeight="1">
      <c r="A41" s="239" t="s">
        <v>150</v>
      </c>
      <c r="B41" s="240"/>
      <c r="C41" s="240"/>
      <c r="D41" s="241">
        <v>105</v>
      </c>
    </row>
    <row r="42" spans="1:5" ht="18" customHeight="1">
      <c r="A42" s="235" t="s">
        <v>151</v>
      </c>
      <c r="B42" s="233"/>
      <c r="C42" s="233"/>
      <c r="D42" s="218">
        <v>6491</v>
      </c>
    </row>
    <row r="43" spans="1:5" ht="18" customHeight="1">
      <c r="A43" s="242" t="s">
        <v>14</v>
      </c>
      <c r="B43" s="243"/>
      <c r="C43" s="243"/>
      <c r="D43" s="244">
        <f>SUM(D34:D42)</f>
        <v>8034</v>
      </c>
    </row>
    <row r="44" spans="1:5" ht="18" customHeight="1">
      <c r="A44" s="235"/>
      <c r="B44" s="233"/>
      <c r="C44" s="233"/>
      <c r="D44" s="245"/>
    </row>
    <row r="45" spans="1:5" ht="18" customHeight="1">
      <c r="A45" s="512" t="s">
        <v>152</v>
      </c>
      <c r="B45" s="513"/>
      <c r="C45" s="513"/>
      <c r="D45" s="514"/>
    </row>
    <row r="46" spans="1:5" ht="18" customHeight="1">
      <c r="A46" s="515"/>
      <c r="B46" s="516"/>
      <c r="C46" s="516"/>
      <c r="D46" s="234" t="s">
        <v>142</v>
      </c>
    </row>
    <row r="47" spans="1:5" ht="18" customHeight="1">
      <c r="A47" s="235" t="s">
        <v>143</v>
      </c>
      <c r="B47" s="233"/>
      <c r="C47" s="233"/>
      <c r="D47" s="218">
        <v>370</v>
      </c>
    </row>
    <row r="48" spans="1:5" ht="18" customHeight="1">
      <c r="A48" s="235" t="s">
        <v>144</v>
      </c>
      <c r="B48" s="233"/>
      <c r="C48" s="233"/>
      <c r="D48" s="218">
        <v>75</v>
      </c>
    </row>
    <row r="49" spans="1:5" ht="18" customHeight="1">
      <c r="A49" s="235" t="s">
        <v>145</v>
      </c>
      <c r="B49" s="233"/>
      <c r="C49" s="233"/>
      <c r="D49" s="218">
        <v>1</v>
      </c>
    </row>
    <row r="50" spans="1:5" ht="17.25" customHeight="1">
      <c r="A50" s="235" t="s">
        <v>146</v>
      </c>
      <c r="B50" s="233"/>
      <c r="C50" s="233"/>
      <c r="D50" s="218">
        <v>12</v>
      </c>
    </row>
    <row r="51" spans="1:5" ht="18" customHeight="1">
      <c r="A51" s="235" t="s">
        <v>147</v>
      </c>
      <c r="B51" s="233"/>
      <c r="C51" s="233"/>
      <c r="D51" s="218">
        <v>0</v>
      </c>
    </row>
    <row r="52" spans="1:5" ht="18" customHeight="1">
      <c r="A52" s="235" t="s">
        <v>148</v>
      </c>
      <c r="B52" s="233"/>
      <c r="C52" s="233"/>
      <c r="D52" s="236">
        <v>1501</v>
      </c>
    </row>
    <row r="53" spans="1:5" ht="18" customHeight="1">
      <c r="A53" s="235" t="s">
        <v>149</v>
      </c>
      <c r="B53" s="233"/>
      <c r="C53" s="233"/>
      <c r="D53" s="236">
        <v>1002</v>
      </c>
    </row>
    <row r="54" spans="1:5" ht="18" customHeight="1">
      <c r="A54" s="239" t="s">
        <v>150</v>
      </c>
      <c r="B54" s="240"/>
      <c r="C54" s="240"/>
      <c r="D54" s="241">
        <v>137</v>
      </c>
    </row>
    <row r="55" spans="1:5" ht="18" customHeight="1">
      <c r="A55" s="235" t="s">
        <v>151</v>
      </c>
      <c r="B55" s="233"/>
      <c r="C55" s="233"/>
      <c r="D55" s="236">
        <v>13918</v>
      </c>
    </row>
    <row r="56" spans="1:5" ht="18" customHeight="1">
      <c r="A56" s="242" t="s">
        <v>14</v>
      </c>
      <c r="B56" s="243"/>
      <c r="C56" s="243"/>
      <c r="D56" s="244">
        <f>SUM(D47:D55)</f>
        <v>17016</v>
      </c>
    </row>
    <row r="57" spans="1:5" ht="19.5" customHeight="1">
      <c r="A57" s="235"/>
      <c r="B57" s="233"/>
      <c r="C57" s="233"/>
      <c r="D57" s="246"/>
    </row>
    <row r="58" spans="1:5" ht="18" customHeight="1">
      <c r="A58" s="235"/>
      <c r="B58" s="233"/>
      <c r="C58" s="233"/>
      <c r="D58" s="233"/>
    </row>
    <row r="60" spans="1:5" ht="18" customHeight="1">
      <c r="A60" s="235"/>
      <c r="B60" s="233"/>
      <c r="C60" s="233"/>
      <c r="D60" s="233"/>
    </row>
    <row r="64" spans="1:5" ht="48" customHeight="1">
      <c r="E64" s="247"/>
    </row>
    <row r="65" spans="5:5" ht="18" customHeight="1">
      <c r="E65" s="247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93"/>
  <sheetViews>
    <sheetView topLeftCell="A236" zoomScaleNormal="100" zoomScaleSheetLayoutView="100" zoomScalePageLayoutView="80" workbookViewId="0">
      <selection activeCell="H300" sqref="H300"/>
    </sheetView>
  </sheetViews>
  <sheetFormatPr defaultColWidth="9.140625" defaultRowHeight="19.5" customHeight="1"/>
  <cols>
    <col min="1" max="1" width="16.7109375" style="196" customWidth="1"/>
    <col min="2" max="2" width="76.7109375" style="196" customWidth="1"/>
    <col min="3" max="3" width="20.5703125" style="197" customWidth="1"/>
    <col min="4" max="4" width="4.140625" style="196" customWidth="1"/>
    <col min="5" max="16384" width="9.140625" style="196"/>
  </cols>
  <sheetData>
    <row r="1" spans="1:9" ht="19.5" customHeight="1" thickBot="1">
      <c r="A1" s="449" t="s">
        <v>153</v>
      </c>
      <c r="B1" s="450"/>
      <c r="C1" s="450"/>
      <c r="D1" s="198"/>
      <c r="E1" s="198"/>
      <c r="F1" s="198"/>
      <c r="G1" s="198"/>
      <c r="H1" s="198"/>
      <c r="I1" s="219"/>
    </row>
    <row r="2" spans="1:9" ht="19.5" customHeight="1">
      <c r="A2" s="199"/>
    </row>
    <row r="3" spans="1:9" ht="19.5" customHeight="1">
      <c r="A3" s="200" t="s">
        <v>6</v>
      </c>
      <c r="B3" s="538" t="s">
        <v>3</v>
      </c>
      <c r="C3" s="538"/>
    </row>
    <row r="4" spans="1:9" ht="19.5" customHeight="1">
      <c r="A4" s="200" t="s">
        <v>7</v>
      </c>
      <c r="B4" s="472">
        <v>45778</v>
      </c>
      <c r="C4" s="472"/>
    </row>
    <row r="5" spans="1:9" ht="19.5" customHeight="1" thickBot="1">
      <c r="A5" s="199"/>
    </row>
    <row r="6" spans="1:9" ht="19.5" customHeight="1" thickBot="1">
      <c r="A6" s="539" t="s">
        <v>154</v>
      </c>
      <c r="B6" s="540"/>
      <c r="C6" s="541"/>
    </row>
    <row r="7" spans="1:9" ht="19.5" customHeight="1">
      <c r="A7" s="542"/>
      <c r="B7" s="543"/>
      <c r="C7" s="202" t="s">
        <v>42</v>
      </c>
    </row>
    <row r="8" spans="1:9" ht="19.5" customHeight="1">
      <c r="A8" s="531" t="s">
        <v>155</v>
      </c>
      <c r="B8" s="532"/>
      <c r="C8" s="203">
        <v>522</v>
      </c>
    </row>
    <row r="9" spans="1:9" ht="19.5" customHeight="1">
      <c r="A9" s="531" t="s">
        <v>156</v>
      </c>
      <c r="B9" s="532"/>
      <c r="C9" s="203">
        <v>113</v>
      </c>
    </row>
    <row r="10" spans="1:9" ht="19.5" customHeight="1" thickBot="1">
      <c r="A10" s="525" t="s">
        <v>157</v>
      </c>
      <c r="B10" s="526"/>
      <c r="C10" s="204">
        <f>SUM(C8:C9)</f>
        <v>635</v>
      </c>
    </row>
    <row r="11" spans="1:9" ht="19.5" customHeight="1" thickBot="1">
      <c r="A11" s="205"/>
      <c r="B11" s="206"/>
      <c r="C11" s="434"/>
    </row>
    <row r="12" spans="1:9" ht="19.5" customHeight="1" thickBot="1">
      <c r="A12" s="533" t="s">
        <v>158</v>
      </c>
      <c r="B12" s="534"/>
      <c r="C12" s="535"/>
    </row>
    <row r="13" spans="1:9" ht="19.5" customHeight="1" thickBot="1">
      <c r="A13" s="536"/>
      <c r="B13" s="537"/>
      <c r="C13" s="207" t="s">
        <v>42</v>
      </c>
    </row>
    <row r="14" spans="1:9" ht="19.5" customHeight="1">
      <c r="A14" s="523" t="s">
        <v>159</v>
      </c>
      <c r="B14" s="524"/>
      <c r="C14" s="354">
        <v>131</v>
      </c>
      <c r="D14" s="199"/>
    </row>
    <row r="15" spans="1:9" ht="19.5" customHeight="1">
      <c r="A15" s="523" t="s">
        <v>160</v>
      </c>
      <c r="B15" s="524"/>
      <c r="C15" s="355">
        <v>504</v>
      </c>
    </row>
    <row r="16" spans="1:9" ht="19.5" customHeight="1" thickBot="1">
      <c r="A16" s="525" t="s">
        <v>157</v>
      </c>
      <c r="B16" s="526"/>
      <c r="C16" s="208">
        <f>SUM(C14:C15)</f>
        <v>635</v>
      </c>
      <c r="D16" s="209"/>
    </row>
    <row r="17" spans="1:3" ht="48.95" customHeight="1">
      <c r="A17" s="527" t="s">
        <v>161</v>
      </c>
      <c r="B17" s="528"/>
      <c r="C17" s="528"/>
    </row>
    <row r="18" spans="1:3" ht="19.5" customHeight="1" thickBot="1">
      <c r="A18" s="529"/>
      <c r="B18" s="530"/>
      <c r="C18" s="435"/>
    </row>
    <row r="19" spans="1:3" ht="19.5" customHeight="1" thickBot="1">
      <c r="A19" s="451" t="s">
        <v>162</v>
      </c>
      <c r="B19" s="452"/>
      <c r="C19" s="453"/>
    </row>
    <row r="20" spans="1:3" ht="19.5" customHeight="1">
      <c r="A20" s="544"/>
      <c r="B20" s="545"/>
      <c r="C20" s="210" t="s">
        <v>42</v>
      </c>
    </row>
    <row r="21" spans="1:3" ht="19.5" customHeight="1">
      <c r="A21" s="546" t="s">
        <v>163</v>
      </c>
      <c r="B21" s="547"/>
      <c r="C21" s="211">
        <f>C14/C16</f>
        <v>0.20629921259842521</v>
      </c>
    </row>
    <row r="22" spans="1:3" ht="19.5" customHeight="1" thickBot="1">
      <c r="A22" s="548" t="s">
        <v>164</v>
      </c>
      <c r="B22" s="549"/>
      <c r="C22" s="212">
        <f>C15/C16</f>
        <v>0.79370078740157479</v>
      </c>
    </row>
    <row r="23" spans="1:3" ht="19.5" customHeight="1" thickBot="1">
      <c r="A23" s="477"/>
      <c r="B23" s="477"/>
      <c r="C23" s="210"/>
    </row>
    <row r="24" spans="1:3" ht="19.5" customHeight="1" thickBot="1">
      <c r="A24" s="533" t="s">
        <v>165</v>
      </c>
      <c r="B24" s="534"/>
      <c r="C24" s="535"/>
    </row>
    <row r="25" spans="1:3" ht="19.5" customHeight="1" thickBot="1">
      <c r="A25" s="536"/>
      <c r="B25" s="537"/>
      <c r="C25" s="207" t="s">
        <v>42</v>
      </c>
    </row>
    <row r="26" spans="1:3" ht="19.5" customHeight="1" thickBot="1">
      <c r="A26" s="557" t="s">
        <v>166</v>
      </c>
      <c r="B26" s="558"/>
      <c r="C26" s="214">
        <v>4</v>
      </c>
    </row>
    <row r="27" spans="1:3" ht="19.5" customHeight="1">
      <c r="A27" s="213"/>
      <c r="B27" s="213"/>
      <c r="C27" s="215"/>
    </row>
    <row r="29" spans="1:3" ht="19.5" customHeight="1">
      <c r="A29" s="559" t="s">
        <v>167</v>
      </c>
      <c r="B29" s="559"/>
      <c r="C29" s="559"/>
    </row>
    <row r="30" spans="1:3" ht="19.5" customHeight="1">
      <c r="A30" s="349" t="s">
        <v>168</v>
      </c>
      <c r="B30" s="350" t="s">
        <v>169</v>
      </c>
      <c r="C30" s="350" t="s">
        <v>42</v>
      </c>
    </row>
    <row r="31" spans="1:3" ht="19.5" customHeight="1">
      <c r="A31" s="351" t="s">
        <v>628</v>
      </c>
      <c r="B31" s="352"/>
      <c r="C31" s="433">
        <v>7</v>
      </c>
    </row>
    <row r="32" spans="1:3" ht="19.5" customHeight="1">
      <c r="A32" s="351" t="s">
        <v>629</v>
      </c>
      <c r="B32" s="352"/>
      <c r="C32" s="433">
        <v>2</v>
      </c>
    </row>
    <row r="33" spans="1:3" ht="19.5" customHeight="1">
      <c r="A33" s="351" t="s">
        <v>630</v>
      </c>
      <c r="B33" s="352"/>
      <c r="C33" s="433">
        <v>2</v>
      </c>
    </row>
    <row r="34" spans="1:3" ht="19.5" customHeight="1">
      <c r="A34" s="351" t="s">
        <v>631</v>
      </c>
      <c r="B34" s="352"/>
      <c r="C34" s="433">
        <v>1</v>
      </c>
    </row>
    <row r="35" spans="1:3" ht="19.5" customHeight="1">
      <c r="A35" s="351" t="s">
        <v>632</v>
      </c>
      <c r="B35" s="352"/>
      <c r="C35" s="433">
        <v>13</v>
      </c>
    </row>
    <row r="36" spans="1:3" ht="19.5" customHeight="1">
      <c r="A36" s="351" t="s">
        <v>633</v>
      </c>
      <c r="B36" s="352"/>
      <c r="C36" s="433">
        <v>5</v>
      </c>
    </row>
    <row r="37" spans="1:3" ht="19.5" customHeight="1">
      <c r="A37" s="351" t="s">
        <v>553</v>
      </c>
      <c r="B37" s="352"/>
      <c r="C37" s="433">
        <v>54</v>
      </c>
    </row>
    <row r="38" spans="1:3" ht="19.5" customHeight="1">
      <c r="A38" s="351" t="s">
        <v>591</v>
      </c>
      <c r="B38" s="352"/>
      <c r="C38" s="433">
        <v>4</v>
      </c>
    </row>
    <row r="39" spans="1:3" ht="19.5" customHeight="1">
      <c r="A39" s="351" t="s">
        <v>634</v>
      </c>
      <c r="B39" s="352"/>
      <c r="C39" s="433">
        <v>4</v>
      </c>
    </row>
    <row r="40" spans="1:3" ht="19.5" customHeight="1">
      <c r="A40" s="351" t="s">
        <v>635</v>
      </c>
      <c r="B40" s="352"/>
      <c r="C40" s="433">
        <v>1</v>
      </c>
    </row>
    <row r="41" spans="1:3" ht="19.5" customHeight="1">
      <c r="A41" s="351" t="s">
        <v>636</v>
      </c>
      <c r="B41" s="352"/>
      <c r="C41" s="433">
        <v>6</v>
      </c>
    </row>
    <row r="42" spans="1:3" ht="19.5" customHeight="1">
      <c r="A42" s="351" t="s">
        <v>637</v>
      </c>
      <c r="B42" s="352"/>
      <c r="C42" s="433">
        <v>1</v>
      </c>
    </row>
    <row r="43" spans="1:3" ht="19.5" customHeight="1">
      <c r="A43" s="351" t="s">
        <v>638</v>
      </c>
      <c r="B43" s="352"/>
      <c r="C43" s="433">
        <v>1</v>
      </c>
    </row>
    <row r="44" spans="1:3" ht="19.5" customHeight="1">
      <c r="A44" s="351" t="s">
        <v>569</v>
      </c>
      <c r="B44" s="352"/>
      <c r="C44" s="433">
        <v>2</v>
      </c>
    </row>
    <row r="45" spans="1:3" ht="19.5" customHeight="1">
      <c r="A45" s="351" t="s">
        <v>639</v>
      </c>
      <c r="B45" s="352"/>
      <c r="C45" s="433">
        <v>2</v>
      </c>
    </row>
    <row r="46" spans="1:3" ht="19.5" customHeight="1">
      <c r="A46" s="351" t="s">
        <v>565</v>
      </c>
      <c r="B46" s="352"/>
      <c r="C46" s="433">
        <v>1</v>
      </c>
    </row>
    <row r="47" spans="1:3" ht="19.5" customHeight="1">
      <c r="A47" s="351" t="s">
        <v>621</v>
      </c>
      <c r="B47" s="352"/>
      <c r="C47" s="433">
        <v>1</v>
      </c>
    </row>
    <row r="48" spans="1:3" ht="19.5" customHeight="1">
      <c r="A48" s="351" t="s">
        <v>640</v>
      </c>
      <c r="B48" s="352"/>
      <c r="C48" s="433">
        <v>1</v>
      </c>
    </row>
    <row r="49" spans="1:3" ht="19.5" customHeight="1">
      <c r="A49" s="351" t="s">
        <v>641</v>
      </c>
      <c r="B49" s="352"/>
      <c r="C49" s="433">
        <v>3</v>
      </c>
    </row>
    <row r="50" spans="1:3" ht="19.5" customHeight="1">
      <c r="A50" s="351" t="s">
        <v>642</v>
      </c>
      <c r="B50" s="352"/>
      <c r="C50" s="433">
        <v>3</v>
      </c>
    </row>
    <row r="51" spans="1:3" ht="19.5" customHeight="1">
      <c r="A51" s="351" t="s">
        <v>643</v>
      </c>
      <c r="B51" s="352"/>
      <c r="C51" s="433">
        <v>1</v>
      </c>
    </row>
    <row r="52" spans="1:3" ht="19.5" customHeight="1">
      <c r="A52" s="351" t="s">
        <v>644</v>
      </c>
      <c r="B52" s="352"/>
      <c r="C52" s="433">
        <v>4</v>
      </c>
    </row>
    <row r="53" spans="1:3" ht="19.5" customHeight="1">
      <c r="A53" s="351" t="s">
        <v>645</v>
      </c>
      <c r="B53" s="352"/>
      <c r="C53" s="433">
        <v>1</v>
      </c>
    </row>
    <row r="54" spans="1:3" ht="19.5" customHeight="1">
      <c r="A54" s="351" t="s">
        <v>646</v>
      </c>
      <c r="B54" s="352"/>
      <c r="C54" s="433">
        <v>1</v>
      </c>
    </row>
    <row r="55" spans="1:3" ht="19.5" customHeight="1">
      <c r="A55" s="351" t="s">
        <v>647</v>
      </c>
      <c r="B55" s="352"/>
      <c r="C55" s="433">
        <v>1</v>
      </c>
    </row>
    <row r="56" spans="1:3" ht="19.5" customHeight="1">
      <c r="A56" s="351" t="s">
        <v>648</v>
      </c>
      <c r="B56" s="352"/>
      <c r="C56" s="433">
        <v>1</v>
      </c>
    </row>
    <row r="57" spans="1:3" ht="19.5" customHeight="1">
      <c r="A57" s="351" t="s">
        <v>649</v>
      </c>
      <c r="B57" s="352"/>
      <c r="C57" s="433">
        <v>2</v>
      </c>
    </row>
    <row r="58" spans="1:3" ht="19.5" customHeight="1">
      <c r="A58" s="351" t="s">
        <v>650</v>
      </c>
      <c r="B58" s="352"/>
      <c r="C58" s="433">
        <v>2</v>
      </c>
    </row>
    <row r="59" spans="1:3" ht="19.5" customHeight="1">
      <c r="A59" s="351" t="s">
        <v>651</v>
      </c>
      <c r="B59" s="352"/>
      <c r="C59" s="433">
        <v>2</v>
      </c>
    </row>
    <row r="60" spans="1:3" ht="19.5" customHeight="1">
      <c r="A60" s="351" t="s">
        <v>652</v>
      </c>
      <c r="B60" s="352"/>
      <c r="C60" s="433">
        <v>5</v>
      </c>
    </row>
    <row r="61" spans="1:3" ht="19.5" customHeight="1">
      <c r="A61" s="351" t="s">
        <v>653</v>
      </c>
      <c r="B61" s="352"/>
      <c r="C61" s="433">
        <v>1</v>
      </c>
    </row>
    <row r="62" spans="1:3" ht="19.5" customHeight="1">
      <c r="A62" s="351" t="s">
        <v>572</v>
      </c>
      <c r="B62" s="352"/>
      <c r="C62" s="433">
        <v>2</v>
      </c>
    </row>
    <row r="63" spans="1:3" ht="19.5" customHeight="1">
      <c r="A63" s="351" t="s">
        <v>654</v>
      </c>
      <c r="B63" s="352"/>
      <c r="C63" s="433">
        <v>1</v>
      </c>
    </row>
    <row r="64" spans="1:3" ht="19.5" customHeight="1">
      <c r="A64" s="351" t="s">
        <v>580</v>
      </c>
      <c r="B64" s="352"/>
      <c r="C64" s="433">
        <v>13</v>
      </c>
    </row>
    <row r="65" spans="1:3" ht="19.5" customHeight="1">
      <c r="A65" s="351" t="s">
        <v>655</v>
      </c>
      <c r="B65" s="352"/>
      <c r="C65" s="433">
        <v>4</v>
      </c>
    </row>
    <row r="66" spans="1:3" ht="19.5" customHeight="1">
      <c r="A66" s="351" t="s">
        <v>656</v>
      </c>
      <c r="B66" s="352"/>
      <c r="C66" s="433">
        <v>1</v>
      </c>
    </row>
    <row r="67" spans="1:3" ht="19.5" customHeight="1">
      <c r="A67" s="351" t="s">
        <v>562</v>
      </c>
      <c r="B67" s="352"/>
      <c r="C67" s="433">
        <v>1</v>
      </c>
    </row>
    <row r="68" spans="1:3" ht="19.5" customHeight="1">
      <c r="A68" s="351" t="s">
        <v>627</v>
      </c>
      <c r="B68" s="352"/>
      <c r="C68" s="433">
        <v>1</v>
      </c>
    </row>
    <row r="69" spans="1:3" ht="19.5" customHeight="1">
      <c r="A69" s="351" t="s">
        <v>657</v>
      </c>
      <c r="B69" s="352"/>
      <c r="C69" s="433">
        <v>1</v>
      </c>
    </row>
    <row r="70" spans="1:3" ht="19.5" customHeight="1">
      <c r="A70" s="351" t="s">
        <v>658</v>
      </c>
      <c r="B70" s="436"/>
      <c r="C70" s="433">
        <v>18</v>
      </c>
    </row>
    <row r="71" spans="1:3" ht="19.5" customHeight="1">
      <c r="A71" s="351" t="s">
        <v>598</v>
      </c>
      <c r="B71" s="352"/>
      <c r="C71" s="433">
        <v>2</v>
      </c>
    </row>
    <row r="72" spans="1:3" ht="19.5" customHeight="1">
      <c r="A72" s="351" t="s">
        <v>599</v>
      </c>
      <c r="B72" s="352"/>
      <c r="C72" s="433">
        <v>1</v>
      </c>
    </row>
    <row r="73" spans="1:3" ht="19.5" customHeight="1">
      <c r="A73" s="351" t="s">
        <v>602</v>
      </c>
      <c r="B73" s="352"/>
      <c r="C73" s="433">
        <v>3</v>
      </c>
    </row>
    <row r="74" spans="1:3" ht="19.5" customHeight="1">
      <c r="A74" s="351" t="s">
        <v>659</v>
      </c>
      <c r="B74" s="352"/>
      <c r="C74" s="433">
        <v>1</v>
      </c>
    </row>
    <row r="75" spans="1:3" ht="19.5" customHeight="1">
      <c r="A75" s="351" t="s">
        <v>660</v>
      </c>
      <c r="B75" s="352"/>
      <c r="C75" s="433">
        <v>3</v>
      </c>
    </row>
    <row r="76" spans="1:3" ht="19.5" customHeight="1">
      <c r="A76" s="351" t="s">
        <v>661</v>
      </c>
      <c r="B76" s="352"/>
      <c r="C76" s="433">
        <v>2</v>
      </c>
    </row>
    <row r="77" spans="1:3" ht="19.5" customHeight="1">
      <c r="A77" s="351" t="s">
        <v>613</v>
      </c>
      <c r="B77" s="352"/>
      <c r="C77" s="433">
        <v>12</v>
      </c>
    </row>
    <row r="78" spans="1:3" ht="19.5" customHeight="1">
      <c r="A78" s="351" t="s">
        <v>600</v>
      </c>
      <c r="B78" s="352"/>
      <c r="C78" s="433">
        <v>5</v>
      </c>
    </row>
    <row r="79" spans="1:3" ht="19.5" customHeight="1">
      <c r="A79" s="351" t="s">
        <v>601</v>
      </c>
      <c r="B79" s="352"/>
      <c r="C79" s="433">
        <v>2</v>
      </c>
    </row>
    <row r="80" spans="1:3" ht="19.5" customHeight="1">
      <c r="A80" s="351" t="s">
        <v>662</v>
      </c>
      <c r="B80" s="352"/>
      <c r="C80" s="433">
        <v>1</v>
      </c>
    </row>
    <row r="81" spans="1:3" ht="19.5" customHeight="1">
      <c r="A81" s="351" t="s">
        <v>663</v>
      </c>
      <c r="B81" s="352"/>
      <c r="C81" s="433">
        <v>4</v>
      </c>
    </row>
    <row r="82" spans="1:3" ht="19.5" customHeight="1">
      <c r="A82" s="351" t="s">
        <v>664</v>
      </c>
      <c r="B82" s="352"/>
      <c r="C82" s="433">
        <v>2</v>
      </c>
    </row>
    <row r="83" spans="1:3" ht="19.5" customHeight="1">
      <c r="A83" s="351" t="s">
        <v>665</v>
      </c>
      <c r="B83" s="352"/>
      <c r="C83" s="433">
        <v>2</v>
      </c>
    </row>
    <row r="84" spans="1:3" ht="19.5" customHeight="1">
      <c r="A84" s="351" t="s">
        <v>585</v>
      </c>
      <c r="B84" s="352"/>
      <c r="C84" s="433">
        <v>25</v>
      </c>
    </row>
    <row r="85" spans="1:3" ht="19.5" customHeight="1">
      <c r="A85" s="351" t="s">
        <v>666</v>
      </c>
      <c r="B85" s="352"/>
      <c r="C85" s="433">
        <v>1</v>
      </c>
    </row>
    <row r="86" spans="1:3" ht="19.5" customHeight="1">
      <c r="A86" s="351" t="s">
        <v>590</v>
      </c>
      <c r="B86" s="352"/>
      <c r="C86" s="433">
        <v>20</v>
      </c>
    </row>
    <row r="87" spans="1:3" ht="19.5" customHeight="1">
      <c r="A87" s="351" t="s">
        <v>667</v>
      </c>
      <c r="B87" s="352"/>
      <c r="C87" s="433">
        <v>2</v>
      </c>
    </row>
    <row r="88" spans="1:3" ht="19.5" customHeight="1">
      <c r="A88" s="351" t="s">
        <v>610</v>
      </c>
      <c r="B88" s="352"/>
      <c r="C88" s="433">
        <v>8</v>
      </c>
    </row>
    <row r="89" spans="1:3" ht="19.5" customHeight="1">
      <c r="A89" s="351" t="s">
        <v>668</v>
      </c>
      <c r="B89" s="352"/>
      <c r="C89" s="433">
        <v>1</v>
      </c>
    </row>
    <row r="90" spans="1:3" ht="19.5" customHeight="1">
      <c r="A90" s="351" t="s">
        <v>669</v>
      </c>
      <c r="B90" s="352"/>
      <c r="C90" s="433">
        <v>1</v>
      </c>
    </row>
    <row r="91" spans="1:3" ht="19.5" customHeight="1">
      <c r="A91" s="351" t="s">
        <v>670</v>
      </c>
      <c r="B91" s="352"/>
      <c r="C91" s="433">
        <v>1</v>
      </c>
    </row>
    <row r="92" spans="1:3" ht="19.5" customHeight="1">
      <c r="A92" s="351" t="s">
        <v>671</v>
      </c>
      <c r="B92" s="352"/>
      <c r="C92" s="433">
        <v>2</v>
      </c>
    </row>
    <row r="93" spans="1:3" ht="19.5" customHeight="1">
      <c r="A93" s="351" t="s">
        <v>574</v>
      </c>
      <c r="B93" s="352"/>
      <c r="C93" s="433">
        <v>5</v>
      </c>
    </row>
    <row r="94" spans="1:3" ht="19.5" customHeight="1">
      <c r="A94" s="351" t="s">
        <v>672</v>
      </c>
      <c r="B94" s="352"/>
      <c r="C94" s="433">
        <v>1</v>
      </c>
    </row>
    <row r="95" spans="1:3" ht="19.5" customHeight="1">
      <c r="A95" s="351" t="s">
        <v>673</v>
      </c>
      <c r="B95" s="352"/>
      <c r="C95" s="433">
        <v>1</v>
      </c>
    </row>
    <row r="96" spans="1:3" ht="19.5" customHeight="1">
      <c r="A96" s="351" t="s">
        <v>611</v>
      </c>
      <c r="B96" s="352"/>
      <c r="C96" s="433">
        <v>1</v>
      </c>
    </row>
    <row r="97" spans="1:3" ht="19.5" customHeight="1">
      <c r="A97" s="351" t="s">
        <v>576</v>
      </c>
      <c r="B97" s="352"/>
      <c r="C97" s="433">
        <v>12</v>
      </c>
    </row>
    <row r="98" spans="1:3" ht="19.5" customHeight="1">
      <c r="A98" s="351" t="s">
        <v>674</v>
      </c>
      <c r="B98" s="352"/>
      <c r="C98" s="433">
        <v>1</v>
      </c>
    </row>
    <row r="99" spans="1:3" ht="19.5" customHeight="1">
      <c r="A99" s="351" t="s">
        <v>675</v>
      </c>
      <c r="B99" s="352"/>
      <c r="C99" s="433">
        <v>1</v>
      </c>
    </row>
    <row r="100" spans="1:3" ht="19.5" customHeight="1">
      <c r="A100" s="351" t="s">
        <v>554</v>
      </c>
      <c r="B100" s="352"/>
      <c r="C100" s="433">
        <v>1</v>
      </c>
    </row>
    <row r="101" spans="1:3" ht="19.5" customHeight="1">
      <c r="A101" s="351" t="s">
        <v>676</v>
      </c>
      <c r="B101" s="352"/>
      <c r="C101" s="433">
        <v>3</v>
      </c>
    </row>
    <row r="102" spans="1:3" ht="19.5" customHeight="1">
      <c r="A102" s="351" t="s">
        <v>677</v>
      </c>
      <c r="B102" s="352"/>
      <c r="C102" s="433">
        <v>2</v>
      </c>
    </row>
    <row r="103" spans="1:3" ht="19.5" customHeight="1">
      <c r="A103" s="351" t="s">
        <v>678</v>
      </c>
      <c r="B103" s="352"/>
      <c r="C103" s="433">
        <v>1</v>
      </c>
    </row>
    <row r="104" spans="1:3" ht="19.5" customHeight="1">
      <c r="A104" s="351" t="s">
        <v>679</v>
      </c>
      <c r="B104" s="352"/>
      <c r="C104" s="433">
        <v>1</v>
      </c>
    </row>
    <row r="105" spans="1:3" ht="19.5" customHeight="1">
      <c r="A105" s="351" t="s">
        <v>680</v>
      </c>
      <c r="B105" s="352"/>
      <c r="C105" s="433">
        <v>1</v>
      </c>
    </row>
    <row r="106" spans="1:3" ht="19.5" customHeight="1">
      <c r="A106" s="351" t="s">
        <v>681</v>
      </c>
      <c r="B106" s="352"/>
      <c r="C106" s="433">
        <v>3</v>
      </c>
    </row>
    <row r="107" spans="1:3" ht="19.5" customHeight="1">
      <c r="A107" s="351" t="s">
        <v>682</v>
      </c>
      <c r="B107" s="352"/>
      <c r="C107" s="433">
        <v>1</v>
      </c>
    </row>
    <row r="108" spans="1:3" ht="19.5" customHeight="1">
      <c r="A108" s="351" t="s">
        <v>683</v>
      </c>
      <c r="B108" s="352"/>
      <c r="C108" s="433">
        <v>1</v>
      </c>
    </row>
    <row r="109" spans="1:3" ht="19.5" customHeight="1">
      <c r="A109" s="351" t="s">
        <v>684</v>
      </c>
      <c r="B109" s="352"/>
      <c r="C109" s="433">
        <v>2</v>
      </c>
    </row>
    <row r="110" spans="1:3" ht="19.5" customHeight="1">
      <c r="A110" s="351" t="s">
        <v>685</v>
      </c>
      <c r="B110" s="352"/>
      <c r="C110" s="433">
        <v>5</v>
      </c>
    </row>
    <row r="111" spans="1:3" ht="19.5" customHeight="1">
      <c r="A111" s="351" t="s">
        <v>555</v>
      </c>
      <c r="B111" s="352"/>
      <c r="C111" s="433">
        <v>6</v>
      </c>
    </row>
    <row r="112" spans="1:3" ht="19.5" customHeight="1">
      <c r="A112" s="351" t="s">
        <v>556</v>
      </c>
      <c r="B112" s="352"/>
      <c r="C112" s="433">
        <v>5</v>
      </c>
    </row>
    <row r="113" spans="1:3" ht="19.5" customHeight="1">
      <c r="A113" s="351" t="s">
        <v>686</v>
      </c>
      <c r="B113" s="352"/>
      <c r="C113" s="433">
        <v>1</v>
      </c>
    </row>
    <row r="114" spans="1:3" ht="19.5" customHeight="1">
      <c r="A114" s="351" t="s">
        <v>687</v>
      </c>
      <c r="B114" s="352"/>
      <c r="C114" s="433">
        <v>1</v>
      </c>
    </row>
    <row r="115" spans="1:3" ht="19.5" customHeight="1">
      <c r="A115" s="351" t="s">
        <v>612</v>
      </c>
      <c r="B115" s="352"/>
      <c r="C115" s="433">
        <v>3</v>
      </c>
    </row>
    <row r="116" spans="1:3" ht="19.5" customHeight="1">
      <c r="A116" s="351" t="s">
        <v>688</v>
      </c>
      <c r="B116" s="352"/>
      <c r="C116" s="433">
        <v>1</v>
      </c>
    </row>
    <row r="117" spans="1:3" ht="19.5" customHeight="1">
      <c r="A117" s="351" t="s">
        <v>689</v>
      </c>
      <c r="B117" s="352"/>
      <c r="C117" s="433">
        <v>4</v>
      </c>
    </row>
    <row r="118" spans="1:3" ht="19.5" customHeight="1">
      <c r="A118" s="351" t="s">
        <v>625</v>
      </c>
      <c r="B118" s="352"/>
      <c r="C118" s="433">
        <v>1</v>
      </c>
    </row>
    <row r="119" spans="1:3" ht="19.5" customHeight="1">
      <c r="A119" s="351" t="s">
        <v>573</v>
      </c>
      <c r="B119" s="352"/>
      <c r="C119" s="433">
        <v>8</v>
      </c>
    </row>
    <row r="120" spans="1:3" ht="19.5" customHeight="1">
      <c r="A120" s="351" t="s">
        <v>690</v>
      </c>
      <c r="B120" s="352"/>
      <c r="C120" s="433">
        <v>1</v>
      </c>
    </row>
    <row r="121" spans="1:3" ht="19.5" customHeight="1">
      <c r="A121" s="351" t="s">
        <v>691</v>
      </c>
      <c r="B121" s="352"/>
      <c r="C121" s="433">
        <v>5</v>
      </c>
    </row>
    <row r="122" spans="1:3" ht="19.5" customHeight="1">
      <c r="A122" s="351" t="s">
        <v>692</v>
      </c>
      <c r="B122" s="352"/>
      <c r="C122" s="433">
        <v>1</v>
      </c>
    </row>
    <row r="123" spans="1:3" ht="19.5" customHeight="1">
      <c r="A123" s="351" t="s">
        <v>693</v>
      </c>
      <c r="B123" s="352"/>
      <c r="C123" s="433">
        <v>1</v>
      </c>
    </row>
    <row r="124" spans="1:3" ht="19.5" customHeight="1">
      <c r="A124" s="351" t="s">
        <v>563</v>
      </c>
      <c r="B124" s="352"/>
      <c r="C124" s="433">
        <v>3</v>
      </c>
    </row>
    <row r="125" spans="1:3" ht="19.5" customHeight="1">
      <c r="A125" s="351" t="s">
        <v>694</v>
      </c>
      <c r="B125" s="352"/>
      <c r="C125" s="433">
        <v>6</v>
      </c>
    </row>
    <row r="126" spans="1:3" ht="19.5" customHeight="1">
      <c r="A126" s="351" t="s">
        <v>695</v>
      </c>
      <c r="B126" s="352"/>
      <c r="C126" s="433">
        <v>1</v>
      </c>
    </row>
    <row r="127" spans="1:3" ht="19.5" customHeight="1">
      <c r="A127" s="351" t="s">
        <v>578</v>
      </c>
      <c r="B127" s="352"/>
      <c r="C127" s="433">
        <v>6</v>
      </c>
    </row>
    <row r="128" spans="1:3" ht="19.5" customHeight="1">
      <c r="A128" s="351" t="s">
        <v>579</v>
      </c>
      <c r="B128" s="352"/>
      <c r="C128" s="433">
        <v>3</v>
      </c>
    </row>
    <row r="129" spans="1:3" ht="19.5" customHeight="1">
      <c r="A129" s="351" t="s">
        <v>696</v>
      </c>
      <c r="B129" s="352"/>
      <c r="C129" s="433">
        <v>2</v>
      </c>
    </row>
    <row r="130" spans="1:3" ht="19.5" customHeight="1">
      <c r="A130" s="351" t="s">
        <v>697</v>
      </c>
      <c r="B130" s="352"/>
      <c r="C130" s="433">
        <v>3</v>
      </c>
    </row>
    <row r="131" spans="1:3" ht="19.5" customHeight="1">
      <c r="A131" s="351" t="s">
        <v>698</v>
      </c>
      <c r="B131" s="352"/>
      <c r="C131" s="433">
        <v>1</v>
      </c>
    </row>
    <row r="132" spans="1:3" ht="19.5" customHeight="1">
      <c r="A132" s="351" t="s">
        <v>699</v>
      </c>
      <c r="B132" s="352"/>
      <c r="C132" s="433">
        <v>1</v>
      </c>
    </row>
    <row r="133" spans="1:3" ht="19.5" customHeight="1">
      <c r="A133" s="351" t="s">
        <v>700</v>
      </c>
      <c r="B133" s="352"/>
      <c r="C133" s="433">
        <v>1</v>
      </c>
    </row>
    <row r="134" spans="1:3" ht="19.5" customHeight="1">
      <c r="A134" s="351" t="s">
        <v>701</v>
      </c>
      <c r="B134" s="352"/>
      <c r="C134" s="433">
        <v>1</v>
      </c>
    </row>
    <row r="135" spans="1:3" ht="19.5" customHeight="1">
      <c r="A135" s="351" t="s">
        <v>702</v>
      </c>
      <c r="B135" s="352"/>
      <c r="C135" s="433">
        <v>1</v>
      </c>
    </row>
    <row r="136" spans="1:3" ht="19.5" customHeight="1">
      <c r="A136" s="351" t="s">
        <v>623</v>
      </c>
      <c r="B136" s="352"/>
      <c r="C136" s="433">
        <v>1</v>
      </c>
    </row>
    <row r="137" spans="1:3" ht="19.5" customHeight="1">
      <c r="A137" s="351" t="s">
        <v>703</v>
      </c>
      <c r="B137" s="352"/>
      <c r="C137" s="433">
        <v>2</v>
      </c>
    </row>
    <row r="138" spans="1:3" ht="19.5" customHeight="1">
      <c r="A138" s="351" t="s">
        <v>596</v>
      </c>
      <c r="B138" s="352"/>
      <c r="C138" s="433">
        <v>1</v>
      </c>
    </row>
    <row r="139" spans="1:3" ht="19.5" customHeight="1">
      <c r="A139" s="351" t="s">
        <v>597</v>
      </c>
      <c r="B139" s="352"/>
      <c r="C139" s="433">
        <v>1</v>
      </c>
    </row>
    <row r="140" spans="1:3" ht="19.5" customHeight="1">
      <c r="A140" s="351" t="s">
        <v>704</v>
      </c>
      <c r="B140" s="352"/>
      <c r="C140" s="433">
        <v>1</v>
      </c>
    </row>
    <row r="141" spans="1:3" ht="19.5" customHeight="1">
      <c r="A141" s="351" t="s">
        <v>705</v>
      </c>
      <c r="B141" s="352"/>
      <c r="C141" s="433">
        <v>1</v>
      </c>
    </row>
    <row r="142" spans="1:3" ht="19.5" customHeight="1">
      <c r="A142" s="351" t="s">
        <v>706</v>
      </c>
      <c r="B142" s="352"/>
      <c r="C142" s="433">
        <v>2</v>
      </c>
    </row>
    <row r="143" spans="1:3" ht="19.5" customHeight="1">
      <c r="A143" s="351" t="s">
        <v>707</v>
      </c>
      <c r="B143" s="352"/>
      <c r="C143" s="433">
        <v>5</v>
      </c>
    </row>
    <row r="144" spans="1:3" ht="19.5" customHeight="1">
      <c r="A144" s="351" t="s">
        <v>557</v>
      </c>
      <c r="B144" s="352"/>
      <c r="C144" s="433">
        <v>31</v>
      </c>
    </row>
    <row r="145" spans="1:3" ht="19.5" customHeight="1">
      <c r="A145" s="351" t="s">
        <v>708</v>
      </c>
      <c r="B145" s="352"/>
      <c r="C145" s="433">
        <v>4</v>
      </c>
    </row>
    <row r="146" spans="1:3" ht="19.5" customHeight="1">
      <c r="A146" s="351" t="s">
        <v>709</v>
      </c>
      <c r="B146" s="352"/>
      <c r="C146" s="433">
        <v>3</v>
      </c>
    </row>
    <row r="147" spans="1:3" ht="19.5" customHeight="1">
      <c r="A147" s="351" t="s">
        <v>710</v>
      </c>
      <c r="B147" s="352"/>
      <c r="C147" s="433">
        <v>6</v>
      </c>
    </row>
    <row r="148" spans="1:3" ht="19.5" customHeight="1">
      <c r="A148" s="351" t="s">
        <v>711</v>
      </c>
      <c r="B148" s="352"/>
      <c r="C148" s="433">
        <v>1</v>
      </c>
    </row>
    <row r="149" spans="1:3" ht="19.5" customHeight="1">
      <c r="A149" s="351" t="s">
        <v>712</v>
      </c>
      <c r="B149" s="352"/>
      <c r="C149" s="433">
        <v>4</v>
      </c>
    </row>
    <row r="150" spans="1:3" ht="19.5" customHeight="1">
      <c r="A150" s="351" t="s">
        <v>713</v>
      </c>
      <c r="B150" s="352"/>
      <c r="C150" s="433">
        <v>2</v>
      </c>
    </row>
    <row r="151" spans="1:3" ht="19.5" customHeight="1">
      <c r="A151" s="351" t="s">
        <v>622</v>
      </c>
      <c r="B151" s="352"/>
      <c r="C151" s="433">
        <v>16</v>
      </c>
    </row>
    <row r="152" spans="1:3" ht="19.5" customHeight="1">
      <c r="A152" s="351" t="s">
        <v>714</v>
      </c>
      <c r="B152" s="352"/>
      <c r="C152" s="433">
        <v>5</v>
      </c>
    </row>
    <row r="153" spans="1:3" ht="19.5" customHeight="1">
      <c r="A153" s="351" t="s">
        <v>564</v>
      </c>
      <c r="B153" s="352"/>
      <c r="C153" s="433">
        <v>1</v>
      </c>
    </row>
    <row r="154" spans="1:3" ht="19.5" customHeight="1">
      <c r="A154" s="351" t="s">
        <v>607</v>
      </c>
      <c r="B154" s="352"/>
      <c r="C154" s="433">
        <v>2</v>
      </c>
    </row>
    <row r="155" spans="1:3" ht="19.5" customHeight="1">
      <c r="A155" s="351" t="s">
        <v>584</v>
      </c>
      <c r="B155" s="352"/>
      <c r="C155" s="433">
        <v>2</v>
      </c>
    </row>
    <row r="156" spans="1:3" ht="19.5" customHeight="1">
      <c r="A156" s="351" t="s">
        <v>616</v>
      </c>
      <c r="B156" s="352"/>
      <c r="C156" s="433">
        <v>1</v>
      </c>
    </row>
    <row r="157" spans="1:3" ht="19.5" customHeight="1">
      <c r="A157" s="351" t="s">
        <v>715</v>
      </c>
      <c r="B157" s="352"/>
      <c r="C157" s="433">
        <v>1</v>
      </c>
    </row>
    <row r="158" spans="1:3" ht="19.5" customHeight="1">
      <c r="A158" s="351" t="s">
        <v>716</v>
      </c>
      <c r="B158" s="352"/>
      <c r="C158" s="433">
        <v>1</v>
      </c>
    </row>
    <row r="159" spans="1:3" ht="19.5" customHeight="1">
      <c r="A159" s="351" t="s">
        <v>571</v>
      </c>
      <c r="B159" s="352"/>
      <c r="C159" s="433">
        <v>1</v>
      </c>
    </row>
    <row r="160" spans="1:3" ht="19.5" customHeight="1">
      <c r="A160" s="351" t="s">
        <v>717</v>
      </c>
      <c r="B160" s="352"/>
      <c r="C160" s="433">
        <v>19</v>
      </c>
    </row>
    <row r="161" spans="1:3" ht="19.5" customHeight="1">
      <c r="A161" s="351" t="s">
        <v>718</v>
      </c>
      <c r="B161" s="352"/>
      <c r="C161" s="433">
        <v>1</v>
      </c>
    </row>
    <row r="162" spans="1:3" ht="19.5" customHeight="1">
      <c r="A162" s="351" t="s">
        <v>719</v>
      </c>
      <c r="B162" s="352"/>
      <c r="C162" s="433">
        <v>1</v>
      </c>
    </row>
    <row r="163" spans="1:3" ht="19.5" customHeight="1">
      <c r="A163" s="351" t="s">
        <v>560</v>
      </c>
      <c r="B163" s="352"/>
      <c r="C163" s="433">
        <v>2</v>
      </c>
    </row>
    <row r="164" spans="1:3" ht="19.5" customHeight="1">
      <c r="A164" s="351" t="s">
        <v>720</v>
      </c>
      <c r="B164" s="352"/>
      <c r="C164" s="433">
        <v>1</v>
      </c>
    </row>
    <row r="165" spans="1:3" ht="19.5" customHeight="1">
      <c r="A165" s="351" t="s">
        <v>721</v>
      </c>
      <c r="B165" s="352"/>
      <c r="C165" s="433">
        <v>3</v>
      </c>
    </row>
    <row r="166" spans="1:3" ht="19.5" customHeight="1">
      <c r="A166" s="351" t="s">
        <v>722</v>
      </c>
      <c r="B166" s="352"/>
      <c r="C166" s="433">
        <v>5</v>
      </c>
    </row>
    <row r="167" spans="1:3" ht="19.5" customHeight="1">
      <c r="A167" s="351" t="s">
        <v>723</v>
      </c>
      <c r="B167" s="352"/>
      <c r="C167" s="433">
        <v>1</v>
      </c>
    </row>
    <row r="168" spans="1:3" ht="19.5" customHeight="1">
      <c r="A168" s="351" t="s">
        <v>724</v>
      </c>
      <c r="B168" s="352"/>
      <c r="C168" s="433">
        <v>1</v>
      </c>
    </row>
    <row r="169" spans="1:3" ht="19.5" customHeight="1">
      <c r="A169" s="351" t="s">
        <v>725</v>
      </c>
      <c r="B169" s="352"/>
      <c r="C169" s="433">
        <v>5</v>
      </c>
    </row>
    <row r="170" spans="1:3" ht="19.5" customHeight="1">
      <c r="A170" s="560" t="s">
        <v>170</v>
      </c>
      <c r="B170" s="560"/>
      <c r="C170" s="353">
        <f>SUM(C31:C169)</f>
        <v>522</v>
      </c>
    </row>
    <row r="171" spans="1:3" ht="19.5" customHeight="1" thickBot="1"/>
    <row r="172" spans="1:3" ht="19.5" customHeight="1">
      <c r="A172" s="550" t="s">
        <v>171</v>
      </c>
      <c r="B172" s="551"/>
      <c r="C172" s="552"/>
    </row>
    <row r="173" spans="1:3" ht="19.5" customHeight="1">
      <c r="A173" s="349" t="s">
        <v>168</v>
      </c>
      <c r="B173" s="350" t="s">
        <v>169</v>
      </c>
      <c r="C173" s="350" t="s">
        <v>42</v>
      </c>
    </row>
    <row r="174" spans="1:3" ht="19.5" customHeight="1">
      <c r="A174" s="351" t="s">
        <v>627</v>
      </c>
      <c r="B174" s="352"/>
      <c r="C174" s="433">
        <v>1</v>
      </c>
    </row>
    <row r="175" spans="1:3" ht="19.5" customHeight="1">
      <c r="A175" s="351" t="s">
        <v>601</v>
      </c>
      <c r="B175" s="352"/>
      <c r="C175" s="433">
        <v>1</v>
      </c>
    </row>
    <row r="176" spans="1:3" ht="19.5" customHeight="1">
      <c r="A176" s="351" t="s">
        <v>626</v>
      </c>
      <c r="B176" s="352"/>
      <c r="C176" s="433">
        <v>1</v>
      </c>
    </row>
    <row r="177" spans="1:3" ht="19.5" customHeight="1">
      <c r="A177" s="351" t="s">
        <v>585</v>
      </c>
      <c r="B177" s="352"/>
      <c r="C177" s="433">
        <v>1</v>
      </c>
    </row>
    <row r="178" spans="1:3" ht="19.5" customHeight="1">
      <c r="A178" s="351" t="s">
        <v>590</v>
      </c>
      <c r="B178" s="352"/>
      <c r="C178" s="433">
        <v>1</v>
      </c>
    </row>
    <row r="179" spans="1:3" ht="19.5" customHeight="1">
      <c r="A179" s="351" t="s">
        <v>563</v>
      </c>
      <c r="B179" s="352"/>
      <c r="C179" s="433">
        <v>1</v>
      </c>
    </row>
    <row r="180" spans="1:3" ht="19.5" customHeight="1">
      <c r="A180" s="351" t="s">
        <v>625</v>
      </c>
      <c r="B180" s="352"/>
      <c r="C180" s="433">
        <v>1</v>
      </c>
    </row>
    <row r="181" spans="1:3" ht="19.5" customHeight="1">
      <c r="A181" s="351" t="s">
        <v>624</v>
      </c>
      <c r="B181" s="352"/>
      <c r="C181" s="433">
        <v>1</v>
      </c>
    </row>
    <row r="182" spans="1:3" ht="19.5" customHeight="1">
      <c r="A182" s="351" t="s">
        <v>623</v>
      </c>
      <c r="B182" s="352"/>
      <c r="C182" s="433">
        <v>1</v>
      </c>
    </row>
    <row r="183" spans="1:3" ht="19.5" customHeight="1">
      <c r="A183" s="351" t="s">
        <v>622</v>
      </c>
      <c r="B183" s="352"/>
      <c r="C183" s="433">
        <v>1</v>
      </c>
    </row>
    <row r="184" spans="1:3" ht="19.5" customHeight="1">
      <c r="A184" s="351" t="s">
        <v>621</v>
      </c>
      <c r="B184" s="352"/>
      <c r="C184" s="433">
        <v>1</v>
      </c>
    </row>
    <row r="185" spans="1:3" ht="19.5" customHeight="1">
      <c r="A185" s="351" t="s">
        <v>618</v>
      </c>
      <c r="B185" s="352"/>
      <c r="C185" s="433">
        <v>1</v>
      </c>
    </row>
    <row r="186" spans="1:3" ht="19.5" customHeight="1">
      <c r="A186" s="351" t="s">
        <v>606</v>
      </c>
      <c r="B186" s="352"/>
      <c r="C186" s="433">
        <v>1</v>
      </c>
    </row>
    <row r="187" spans="1:3" ht="19.5" customHeight="1">
      <c r="A187" s="351" t="s">
        <v>620</v>
      </c>
      <c r="B187" s="352"/>
      <c r="C187" s="433">
        <v>1</v>
      </c>
    </row>
    <row r="188" spans="1:3" ht="19.5" customHeight="1">
      <c r="A188" s="351" t="s">
        <v>585</v>
      </c>
      <c r="B188" s="352"/>
      <c r="C188" s="433">
        <v>1</v>
      </c>
    </row>
    <row r="189" spans="1:3" ht="19.5" customHeight="1">
      <c r="A189" s="351" t="s">
        <v>619</v>
      </c>
      <c r="B189" s="352"/>
      <c r="C189" s="433">
        <v>1</v>
      </c>
    </row>
    <row r="190" spans="1:3" ht="19.5" customHeight="1">
      <c r="A190" s="351" t="s">
        <v>618</v>
      </c>
      <c r="B190" s="352"/>
      <c r="C190" s="433">
        <v>1</v>
      </c>
    </row>
    <row r="191" spans="1:3" ht="19.5" customHeight="1">
      <c r="A191" s="351" t="s">
        <v>602</v>
      </c>
      <c r="B191" s="352"/>
      <c r="C191" s="433">
        <v>1</v>
      </c>
    </row>
    <row r="192" spans="1:3" ht="19.5" customHeight="1">
      <c r="A192" s="351" t="s">
        <v>599</v>
      </c>
      <c r="B192" s="352"/>
      <c r="C192" s="433">
        <v>1</v>
      </c>
    </row>
    <row r="193" spans="1:3" ht="19.5" customHeight="1">
      <c r="A193" s="351" t="s">
        <v>585</v>
      </c>
      <c r="B193" s="352"/>
      <c r="C193" s="433">
        <v>1</v>
      </c>
    </row>
    <row r="194" spans="1:3" ht="19.5" customHeight="1">
      <c r="A194" s="351" t="s">
        <v>617</v>
      </c>
      <c r="B194" s="352"/>
      <c r="C194" s="433">
        <v>1</v>
      </c>
    </row>
    <row r="195" spans="1:3" ht="19.5" customHeight="1">
      <c r="A195" s="351" t="s">
        <v>585</v>
      </c>
      <c r="B195" s="352"/>
      <c r="C195" s="433">
        <v>1</v>
      </c>
    </row>
    <row r="196" spans="1:3" ht="19.5" customHeight="1">
      <c r="A196" s="351" t="s">
        <v>602</v>
      </c>
      <c r="B196" s="352"/>
      <c r="C196" s="433">
        <v>1</v>
      </c>
    </row>
    <row r="197" spans="1:3" ht="19.5" customHeight="1">
      <c r="A197" s="351" t="s">
        <v>599</v>
      </c>
      <c r="B197" s="352"/>
      <c r="C197" s="433">
        <v>1</v>
      </c>
    </row>
    <row r="198" spans="1:3" ht="19.5" customHeight="1">
      <c r="A198" s="351" t="s">
        <v>578</v>
      </c>
      <c r="B198" s="352"/>
      <c r="C198" s="433">
        <v>1</v>
      </c>
    </row>
    <row r="199" spans="1:3" ht="19.5" customHeight="1">
      <c r="A199" s="351" t="s">
        <v>616</v>
      </c>
      <c r="B199" s="352"/>
      <c r="C199" s="433">
        <v>1</v>
      </c>
    </row>
    <row r="200" spans="1:3" ht="19.5" customHeight="1">
      <c r="A200" s="351" t="s">
        <v>613</v>
      </c>
      <c r="B200" s="352"/>
      <c r="C200" s="433">
        <v>1</v>
      </c>
    </row>
    <row r="201" spans="1:3" ht="19.5" customHeight="1">
      <c r="A201" s="351" t="s">
        <v>589</v>
      </c>
      <c r="B201" s="352"/>
      <c r="C201" s="433">
        <v>1</v>
      </c>
    </row>
    <row r="202" spans="1:3" ht="19.5" customHeight="1">
      <c r="A202" s="351" t="s">
        <v>585</v>
      </c>
      <c r="B202" s="352"/>
      <c r="C202" s="433">
        <v>1</v>
      </c>
    </row>
    <row r="203" spans="1:3" ht="19.5" customHeight="1">
      <c r="A203" s="351" t="s">
        <v>613</v>
      </c>
      <c r="B203" s="352"/>
      <c r="C203" s="433">
        <v>1</v>
      </c>
    </row>
    <row r="204" spans="1:3" ht="19.5" customHeight="1">
      <c r="A204" s="351" t="s">
        <v>586</v>
      </c>
      <c r="B204" s="352"/>
      <c r="C204" s="433">
        <v>1</v>
      </c>
    </row>
    <row r="205" spans="1:3" ht="19.5" customHeight="1">
      <c r="A205" s="351" t="s">
        <v>606</v>
      </c>
      <c r="B205" s="352"/>
      <c r="C205" s="433">
        <v>1</v>
      </c>
    </row>
    <row r="206" spans="1:3" ht="19.5" customHeight="1">
      <c r="A206" s="351" t="s">
        <v>615</v>
      </c>
      <c r="B206" s="352"/>
      <c r="C206" s="433">
        <v>1</v>
      </c>
    </row>
    <row r="207" spans="1:3" ht="19.5" customHeight="1">
      <c r="A207" s="351" t="s">
        <v>614</v>
      </c>
      <c r="B207" s="352"/>
      <c r="C207" s="433">
        <v>1</v>
      </c>
    </row>
    <row r="208" spans="1:3" ht="19.5" customHeight="1">
      <c r="A208" s="351" t="s">
        <v>610</v>
      </c>
      <c r="B208" s="352"/>
      <c r="C208" s="433">
        <v>1</v>
      </c>
    </row>
    <row r="209" spans="1:3" ht="19.5" customHeight="1">
      <c r="A209" s="351" t="s">
        <v>613</v>
      </c>
      <c r="B209" s="352"/>
      <c r="C209" s="433">
        <v>1</v>
      </c>
    </row>
    <row r="210" spans="1:3" ht="19.5" customHeight="1">
      <c r="A210" s="351" t="s">
        <v>612</v>
      </c>
      <c r="B210" s="352"/>
      <c r="C210" s="433">
        <v>1</v>
      </c>
    </row>
    <row r="211" spans="1:3" ht="19.5" customHeight="1">
      <c r="A211" s="351" t="s">
        <v>555</v>
      </c>
      <c r="B211" s="352"/>
      <c r="C211" s="433">
        <v>1</v>
      </c>
    </row>
    <row r="212" spans="1:3" ht="19.5" customHeight="1">
      <c r="A212" s="351" t="s">
        <v>563</v>
      </c>
      <c r="B212" s="352"/>
      <c r="C212" s="433">
        <v>1</v>
      </c>
    </row>
    <row r="213" spans="1:3" ht="19.5" customHeight="1">
      <c r="A213" s="351" t="s">
        <v>578</v>
      </c>
      <c r="B213" s="352"/>
      <c r="C213" s="433">
        <v>1</v>
      </c>
    </row>
    <row r="214" spans="1:3" ht="19.5" customHeight="1">
      <c r="A214" s="351" t="s">
        <v>611</v>
      </c>
      <c r="B214" s="352"/>
      <c r="C214" s="433">
        <v>1</v>
      </c>
    </row>
    <row r="215" spans="1:3" ht="19.5" customHeight="1">
      <c r="A215" s="351" t="s">
        <v>555</v>
      </c>
      <c r="B215" s="352"/>
      <c r="C215" s="433">
        <v>1</v>
      </c>
    </row>
    <row r="216" spans="1:3" ht="19.5" customHeight="1">
      <c r="A216" s="351" t="s">
        <v>610</v>
      </c>
      <c r="B216" s="352"/>
      <c r="C216" s="433">
        <v>1</v>
      </c>
    </row>
    <row r="217" spans="1:3" ht="19.5" customHeight="1">
      <c r="A217" s="351" t="s">
        <v>563</v>
      </c>
      <c r="B217" s="352"/>
      <c r="C217" s="433">
        <v>1</v>
      </c>
    </row>
    <row r="218" spans="1:3" ht="19.5" customHeight="1">
      <c r="A218" s="351" t="s">
        <v>609</v>
      </c>
      <c r="B218" s="352"/>
      <c r="C218" s="433">
        <v>1</v>
      </c>
    </row>
    <row r="219" spans="1:3" ht="19.5" customHeight="1">
      <c r="A219" s="351" t="s">
        <v>562</v>
      </c>
      <c r="B219" s="352"/>
      <c r="C219" s="433">
        <v>1</v>
      </c>
    </row>
    <row r="220" spans="1:3" ht="19.5" customHeight="1">
      <c r="A220" s="351" t="s">
        <v>608</v>
      </c>
      <c r="B220" s="352"/>
      <c r="C220" s="433">
        <v>1</v>
      </c>
    </row>
    <row r="221" spans="1:3" ht="19.5" customHeight="1">
      <c r="A221" s="351" t="s">
        <v>607</v>
      </c>
      <c r="B221" s="352"/>
      <c r="C221" s="433">
        <v>1</v>
      </c>
    </row>
    <row r="222" spans="1:3" ht="19.5" customHeight="1">
      <c r="A222" s="351" t="s">
        <v>602</v>
      </c>
      <c r="B222" s="352"/>
      <c r="C222" s="433">
        <v>1</v>
      </c>
    </row>
    <row r="223" spans="1:3" ht="19.5" customHeight="1">
      <c r="A223" s="351" t="s">
        <v>585</v>
      </c>
      <c r="B223" s="352"/>
      <c r="C223" s="433">
        <v>1</v>
      </c>
    </row>
    <row r="224" spans="1:3" ht="19.5" customHeight="1">
      <c r="A224" s="351" t="s">
        <v>601</v>
      </c>
      <c r="B224" s="352"/>
      <c r="C224" s="433">
        <v>1</v>
      </c>
    </row>
    <row r="225" spans="1:3" ht="19.5" customHeight="1">
      <c r="A225" s="351" t="s">
        <v>599</v>
      </c>
      <c r="B225" s="352"/>
      <c r="C225" s="433">
        <v>1</v>
      </c>
    </row>
    <row r="226" spans="1:3" ht="19.5" customHeight="1">
      <c r="A226" s="351" t="s">
        <v>606</v>
      </c>
      <c r="B226" s="352"/>
      <c r="C226" s="433">
        <v>1</v>
      </c>
    </row>
    <row r="227" spans="1:3" ht="19.5" customHeight="1">
      <c r="A227" s="351" t="s">
        <v>605</v>
      </c>
      <c r="B227" s="352"/>
      <c r="C227" s="433">
        <v>1</v>
      </c>
    </row>
    <row r="228" spans="1:3" ht="19.5" customHeight="1">
      <c r="A228" s="351" t="s">
        <v>604</v>
      </c>
      <c r="B228" s="352"/>
      <c r="C228" s="433">
        <v>1</v>
      </c>
    </row>
    <row r="229" spans="1:3" ht="19.5" customHeight="1">
      <c r="A229" s="351" t="s">
        <v>576</v>
      </c>
      <c r="B229" s="352"/>
      <c r="C229" s="433">
        <v>1</v>
      </c>
    </row>
    <row r="230" spans="1:3" ht="19.5" customHeight="1">
      <c r="A230" s="351" t="s">
        <v>603</v>
      </c>
      <c r="B230" s="352"/>
      <c r="C230" s="433">
        <v>1</v>
      </c>
    </row>
    <row r="231" spans="1:3" ht="19.5" customHeight="1">
      <c r="A231" s="351" t="s">
        <v>602</v>
      </c>
      <c r="B231" s="352"/>
      <c r="C231" s="433">
        <v>1</v>
      </c>
    </row>
    <row r="232" spans="1:3" ht="19.5" customHeight="1">
      <c r="A232" s="351" t="s">
        <v>601</v>
      </c>
      <c r="B232" s="352"/>
      <c r="C232" s="433">
        <v>1</v>
      </c>
    </row>
    <row r="233" spans="1:3" ht="19.5" customHeight="1">
      <c r="A233" s="351" t="s">
        <v>600</v>
      </c>
      <c r="B233" s="352"/>
      <c r="C233" s="433">
        <v>1</v>
      </c>
    </row>
    <row r="234" spans="1:3" ht="19.5" customHeight="1">
      <c r="A234" s="351" t="s">
        <v>599</v>
      </c>
      <c r="B234" s="352"/>
      <c r="C234" s="433">
        <v>1</v>
      </c>
    </row>
    <row r="235" spans="1:3" ht="19.5" customHeight="1">
      <c r="A235" s="351" t="s">
        <v>585</v>
      </c>
      <c r="B235" s="352"/>
      <c r="C235" s="433">
        <v>1</v>
      </c>
    </row>
    <row r="236" spans="1:3" ht="19.5" customHeight="1">
      <c r="A236" s="351" t="s">
        <v>597</v>
      </c>
      <c r="B236" s="352"/>
      <c r="C236" s="433">
        <v>1</v>
      </c>
    </row>
    <row r="237" spans="1:3" ht="19.5" customHeight="1">
      <c r="A237" s="351" t="s">
        <v>596</v>
      </c>
      <c r="B237" s="352"/>
      <c r="C237" s="433">
        <v>1</v>
      </c>
    </row>
    <row r="238" spans="1:3" ht="19.5" customHeight="1">
      <c r="A238" s="351" t="s">
        <v>595</v>
      </c>
      <c r="B238" s="352"/>
      <c r="C238" s="433">
        <v>1</v>
      </c>
    </row>
    <row r="239" spans="1:3" ht="19.5" customHeight="1">
      <c r="A239" s="351" t="s">
        <v>571</v>
      </c>
      <c r="B239" s="352"/>
      <c r="C239" s="433">
        <v>1</v>
      </c>
    </row>
    <row r="240" spans="1:3" ht="19.5" customHeight="1">
      <c r="A240" s="351" t="s">
        <v>594</v>
      </c>
      <c r="B240" s="352"/>
      <c r="C240" s="433">
        <v>1</v>
      </c>
    </row>
    <row r="241" spans="1:3" ht="19.5" customHeight="1">
      <c r="A241" s="351" t="s">
        <v>593</v>
      </c>
      <c r="B241" s="352"/>
      <c r="C241" s="433">
        <v>1</v>
      </c>
    </row>
    <row r="242" spans="1:3" ht="19.5" customHeight="1">
      <c r="A242" s="351" t="s">
        <v>573</v>
      </c>
      <c r="B242" s="352"/>
      <c r="C242" s="433">
        <v>1</v>
      </c>
    </row>
    <row r="243" spans="1:3" ht="19.5" customHeight="1">
      <c r="A243" s="351" t="s">
        <v>563</v>
      </c>
      <c r="B243" s="352"/>
      <c r="C243" s="433">
        <v>1</v>
      </c>
    </row>
    <row r="244" spans="1:3" ht="19.5" customHeight="1">
      <c r="A244" s="351" t="s">
        <v>592</v>
      </c>
      <c r="B244" s="352"/>
      <c r="C244" s="433">
        <v>1</v>
      </c>
    </row>
    <row r="245" spans="1:3" ht="19.5" customHeight="1">
      <c r="A245" s="351" t="s">
        <v>569</v>
      </c>
      <c r="B245" s="352"/>
      <c r="C245" s="433">
        <v>1</v>
      </c>
    </row>
    <row r="246" spans="1:3" ht="19.5" customHeight="1">
      <c r="A246" s="351" t="s">
        <v>591</v>
      </c>
      <c r="B246" s="352"/>
      <c r="C246" s="433">
        <v>1</v>
      </c>
    </row>
    <row r="247" spans="1:3" ht="19.5" customHeight="1">
      <c r="A247" s="351" t="s">
        <v>568</v>
      </c>
      <c r="B247" s="352"/>
      <c r="C247" s="433">
        <v>1</v>
      </c>
    </row>
    <row r="248" spans="1:3" ht="19.5" customHeight="1">
      <c r="A248" s="351" t="s">
        <v>583</v>
      </c>
      <c r="B248" s="352"/>
      <c r="C248" s="433">
        <v>1</v>
      </c>
    </row>
    <row r="249" spans="1:3" ht="19.5" customHeight="1">
      <c r="A249" s="351" t="s">
        <v>590</v>
      </c>
      <c r="B249" s="352"/>
      <c r="C249" s="433">
        <v>1</v>
      </c>
    </row>
    <row r="250" spans="1:3" ht="19.5" customHeight="1">
      <c r="A250" s="351" t="s">
        <v>585</v>
      </c>
      <c r="B250" s="352"/>
      <c r="C250" s="433">
        <v>1</v>
      </c>
    </row>
    <row r="251" spans="1:3" ht="19.5" customHeight="1">
      <c r="A251" s="351" t="s">
        <v>589</v>
      </c>
      <c r="B251" s="352"/>
      <c r="C251" s="433">
        <v>1</v>
      </c>
    </row>
    <row r="252" spans="1:3" ht="19.5" customHeight="1">
      <c r="A252" s="351" t="s">
        <v>588</v>
      </c>
      <c r="B252" s="352"/>
      <c r="C252" s="433">
        <v>1</v>
      </c>
    </row>
    <row r="253" spans="1:3" ht="19.5" customHeight="1">
      <c r="A253" s="351" t="s">
        <v>587</v>
      </c>
      <c r="B253" s="352"/>
      <c r="C253" s="433">
        <v>1</v>
      </c>
    </row>
    <row r="254" spans="1:3" ht="19.5" customHeight="1">
      <c r="A254" s="351" t="s">
        <v>586</v>
      </c>
      <c r="B254" s="352"/>
      <c r="C254" s="433">
        <v>1</v>
      </c>
    </row>
    <row r="255" spans="1:3" ht="19.5" customHeight="1">
      <c r="A255" s="351" t="s">
        <v>585</v>
      </c>
      <c r="B255" s="352"/>
      <c r="C255" s="433">
        <v>1</v>
      </c>
    </row>
    <row r="256" spans="1:3" ht="19.5" customHeight="1">
      <c r="A256" s="351" t="s">
        <v>584</v>
      </c>
      <c r="B256" s="352"/>
      <c r="C256" s="433">
        <v>1</v>
      </c>
    </row>
    <row r="257" spans="1:3" ht="19.5" customHeight="1">
      <c r="A257" s="351" t="s">
        <v>583</v>
      </c>
      <c r="B257" s="352"/>
      <c r="C257" s="433">
        <v>1</v>
      </c>
    </row>
    <row r="258" spans="1:3" ht="19.5" customHeight="1">
      <c r="A258" s="351" t="s">
        <v>582</v>
      </c>
      <c r="B258" s="352"/>
      <c r="C258" s="433">
        <v>1</v>
      </c>
    </row>
    <row r="259" spans="1:3" ht="19.5" customHeight="1">
      <c r="A259" s="351" t="s">
        <v>581</v>
      </c>
      <c r="B259" s="352"/>
      <c r="C259" s="433">
        <v>1</v>
      </c>
    </row>
    <row r="260" spans="1:3" ht="19.5" customHeight="1">
      <c r="A260" s="351" t="s">
        <v>580</v>
      </c>
      <c r="B260" s="352"/>
      <c r="C260" s="433">
        <v>1</v>
      </c>
    </row>
    <row r="261" spans="1:3" ht="19.5" customHeight="1">
      <c r="A261" s="351" t="s">
        <v>579</v>
      </c>
      <c r="B261" s="352"/>
      <c r="C261" s="433">
        <v>1</v>
      </c>
    </row>
    <row r="262" spans="1:3" ht="19.5" customHeight="1">
      <c r="A262" s="351" t="s">
        <v>578</v>
      </c>
      <c r="B262" s="352"/>
      <c r="C262" s="433">
        <v>1</v>
      </c>
    </row>
    <row r="263" spans="1:3" ht="19.5" customHeight="1">
      <c r="A263" s="351" t="s">
        <v>577</v>
      </c>
      <c r="B263" s="352"/>
      <c r="C263" s="433">
        <v>1</v>
      </c>
    </row>
    <row r="264" spans="1:3" ht="19.5" customHeight="1">
      <c r="A264" s="351" t="s">
        <v>576</v>
      </c>
      <c r="B264" s="352"/>
      <c r="C264" s="433">
        <v>1</v>
      </c>
    </row>
    <row r="265" spans="1:3" ht="19.5" customHeight="1">
      <c r="A265" s="351" t="s">
        <v>575</v>
      </c>
      <c r="B265" s="352"/>
      <c r="C265" s="433">
        <v>1</v>
      </c>
    </row>
    <row r="266" spans="1:3" ht="19.5" customHeight="1">
      <c r="A266" s="351" t="s">
        <v>574</v>
      </c>
      <c r="B266" s="352"/>
      <c r="C266" s="433">
        <v>1</v>
      </c>
    </row>
    <row r="267" spans="1:3" ht="19.5" customHeight="1">
      <c r="A267" s="351" t="s">
        <v>573</v>
      </c>
      <c r="B267" s="352"/>
      <c r="C267" s="433">
        <v>1</v>
      </c>
    </row>
    <row r="268" spans="1:3" ht="19.5" customHeight="1">
      <c r="A268" s="351" t="s">
        <v>572</v>
      </c>
      <c r="B268" s="352"/>
      <c r="C268" s="433">
        <v>1</v>
      </c>
    </row>
    <row r="269" spans="1:3" ht="19.5" customHeight="1">
      <c r="A269" s="351" t="s">
        <v>571</v>
      </c>
      <c r="B269" s="352"/>
      <c r="C269" s="433">
        <v>1</v>
      </c>
    </row>
    <row r="270" spans="1:3" ht="19.5" customHeight="1">
      <c r="A270" s="351" t="s">
        <v>570</v>
      </c>
      <c r="B270" s="352"/>
      <c r="C270" s="433">
        <v>1</v>
      </c>
    </row>
    <row r="271" spans="1:3" ht="19.5" customHeight="1">
      <c r="A271" s="351" t="s">
        <v>569</v>
      </c>
      <c r="B271" s="352"/>
      <c r="C271" s="433">
        <v>1</v>
      </c>
    </row>
    <row r="272" spans="1:3" ht="19.5" customHeight="1">
      <c r="A272" s="351" t="s">
        <v>568</v>
      </c>
      <c r="B272" s="352"/>
      <c r="C272" s="433">
        <v>1</v>
      </c>
    </row>
    <row r="273" spans="1:3" ht="19.5" customHeight="1">
      <c r="A273" s="351" t="s">
        <v>567</v>
      </c>
      <c r="B273" s="352"/>
      <c r="C273" s="433">
        <v>1</v>
      </c>
    </row>
    <row r="274" spans="1:3" ht="19.5" customHeight="1">
      <c r="A274" s="351" t="s">
        <v>566</v>
      </c>
      <c r="B274" s="352"/>
      <c r="C274" s="433">
        <v>1</v>
      </c>
    </row>
    <row r="275" spans="1:3" ht="19.5" customHeight="1">
      <c r="A275" s="351" t="s">
        <v>565</v>
      </c>
      <c r="B275" s="352"/>
      <c r="C275" s="433">
        <v>1</v>
      </c>
    </row>
    <row r="276" spans="1:3" ht="19.5" customHeight="1">
      <c r="A276" s="351" t="s">
        <v>564</v>
      </c>
      <c r="B276" s="352"/>
      <c r="C276" s="433">
        <v>1</v>
      </c>
    </row>
    <row r="277" spans="1:3" ht="19.5" customHeight="1">
      <c r="A277" s="351" t="s">
        <v>563</v>
      </c>
      <c r="B277" s="352"/>
      <c r="C277" s="433">
        <v>1</v>
      </c>
    </row>
    <row r="278" spans="1:3" ht="19.5" customHeight="1">
      <c r="A278" s="351" t="s">
        <v>556</v>
      </c>
      <c r="B278" s="352"/>
      <c r="C278" s="433">
        <v>1</v>
      </c>
    </row>
    <row r="279" spans="1:3" ht="19.5" customHeight="1">
      <c r="A279" s="351" t="s">
        <v>562</v>
      </c>
      <c r="B279" s="352"/>
      <c r="C279" s="433">
        <v>1</v>
      </c>
    </row>
    <row r="280" spans="1:3" ht="19.5" customHeight="1">
      <c r="A280" s="351" t="s">
        <v>561</v>
      </c>
      <c r="B280" s="352"/>
      <c r="C280" s="433">
        <v>1</v>
      </c>
    </row>
    <row r="281" spans="1:3" ht="19.5" customHeight="1">
      <c r="A281" s="351" t="s">
        <v>560</v>
      </c>
      <c r="B281" s="352"/>
      <c r="C281" s="433">
        <v>1</v>
      </c>
    </row>
    <row r="282" spans="1:3" ht="19.5" customHeight="1">
      <c r="A282" s="351" t="s">
        <v>559</v>
      </c>
      <c r="B282" s="352"/>
      <c r="C282" s="433">
        <v>1</v>
      </c>
    </row>
    <row r="283" spans="1:3" ht="19.5" customHeight="1">
      <c r="A283" s="351" t="s">
        <v>558</v>
      </c>
      <c r="B283" s="352"/>
      <c r="C283" s="433">
        <v>1</v>
      </c>
    </row>
    <row r="284" spans="1:3" ht="19.5" customHeight="1">
      <c r="A284" s="351" t="s">
        <v>556</v>
      </c>
      <c r="B284" s="352"/>
      <c r="C284" s="433">
        <v>1</v>
      </c>
    </row>
    <row r="285" spans="1:3" ht="19.5" customHeight="1">
      <c r="A285" s="351" t="s">
        <v>555</v>
      </c>
      <c r="B285" s="352"/>
      <c r="C285" s="433">
        <v>1</v>
      </c>
    </row>
    <row r="286" spans="1:3" ht="19.5" customHeight="1">
      <c r="A286" s="351" t="s">
        <v>554</v>
      </c>
      <c r="B286" s="352"/>
      <c r="C286" s="433">
        <v>1</v>
      </c>
    </row>
    <row r="287" spans="1:3" ht="19.5" customHeight="1">
      <c r="A287" s="553" t="s">
        <v>172</v>
      </c>
      <c r="B287" s="554"/>
      <c r="C287" s="353">
        <f>SUM(C174:C286)</f>
        <v>113</v>
      </c>
    </row>
    <row r="288" spans="1:3" ht="19.5" customHeight="1" thickBot="1"/>
    <row r="289" spans="2:3" ht="19.5" customHeight="1" thickBot="1">
      <c r="B289" s="555" t="s">
        <v>173</v>
      </c>
      <c r="C289" s="556"/>
    </row>
    <row r="290" spans="2:3" ht="19.5" customHeight="1">
      <c r="B290" s="401"/>
      <c r="C290" s="400" t="s">
        <v>42</v>
      </c>
    </row>
    <row r="291" spans="2:3" ht="19.5" customHeight="1">
      <c r="B291" s="402" t="s">
        <v>174</v>
      </c>
      <c r="C291" s="403">
        <v>35</v>
      </c>
    </row>
    <row r="292" spans="2:3" ht="19.5" customHeight="1">
      <c r="B292" s="402" t="s">
        <v>175</v>
      </c>
      <c r="C292" s="403">
        <v>54</v>
      </c>
    </row>
    <row r="293" spans="2:3" ht="19.5" customHeight="1" thickBot="1">
      <c r="B293" s="404" t="s">
        <v>176</v>
      </c>
      <c r="C293" s="405">
        <f>C291+C292</f>
        <v>89</v>
      </c>
    </row>
  </sheetData>
  <autoFilter ref="A173:C287" xr:uid="{00000000-0009-0000-0000-000006000000}"/>
  <mergeCells count="28">
    <mergeCell ref="A172:C172"/>
    <mergeCell ref="A287:B287"/>
    <mergeCell ref="B289:C289"/>
    <mergeCell ref="A24:C24"/>
    <mergeCell ref="A25:B25"/>
    <mergeCell ref="A26:B26"/>
    <mergeCell ref="A29:C29"/>
    <mergeCell ref="A170:B170"/>
    <mergeCell ref="A19:C19"/>
    <mergeCell ref="A20:B20"/>
    <mergeCell ref="A21:B21"/>
    <mergeCell ref="A22:B22"/>
    <mergeCell ref="A23:B23"/>
    <mergeCell ref="A1:C1"/>
    <mergeCell ref="B3:C3"/>
    <mergeCell ref="B4:C4"/>
    <mergeCell ref="A6:C6"/>
    <mergeCell ref="A7:B7"/>
    <mergeCell ref="A8:B8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opLeftCell="A7" zoomScale="80" zoomScaleNormal="80" zoomScaleSheetLayoutView="80" zoomScalePageLayoutView="80" workbookViewId="0">
      <selection activeCell="O25" sqref="O25"/>
    </sheetView>
  </sheetViews>
  <sheetFormatPr defaultColWidth="9" defaultRowHeight="19.5" customHeight="1"/>
  <cols>
    <col min="1" max="1" width="46.140625" style="109" customWidth="1"/>
    <col min="2" max="2" width="18.5703125" style="110" customWidth="1"/>
    <col min="3" max="3" width="22.7109375" style="110" customWidth="1"/>
    <col min="4" max="4" width="29.140625" style="110" customWidth="1"/>
    <col min="5" max="5" width="19" style="110" customWidth="1"/>
    <col min="6" max="6" width="18.42578125" style="110" customWidth="1"/>
    <col min="7" max="7" width="21.42578125" style="110" customWidth="1"/>
    <col min="8" max="8" width="18.140625" style="110" customWidth="1"/>
    <col min="9" max="9" width="21.42578125" style="109" customWidth="1"/>
    <col min="10" max="16383" width="9.140625" style="109"/>
    <col min="16384" max="16384" width="9" style="109"/>
  </cols>
  <sheetData>
    <row r="1" spans="1:9" ht="32.1" customHeight="1">
      <c r="A1" s="561" t="s">
        <v>177</v>
      </c>
      <c r="B1" s="562"/>
      <c r="C1" s="562"/>
      <c r="D1" s="562"/>
      <c r="E1" s="562"/>
      <c r="F1" s="562"/>
      <c r="G1" s="562"/>
      <c r="H1" s="562"/>
      <c r="I1" s="562"/>
    </row>
    <row r="2" spans="1:9" ht="19.5" customHeight="1">
      <c r="A2" s="132"/>
      <c r="B2" s="133"/>
      <c r="C2" s="133"/>
      <c r="D2" s="133"/>
      <c r="E2" s="134"/>
      <c r="F2" s="134"/>
      <c r="G2" s="134"/>
      <c r="H2" s="134"/>
      <c r="I2" s="188"/>
    </row>
    <row r="3" spans="1:9" ht="19.5" customHeight="1">
      <c r="A3" s="135" t="s">
        <v>6</v>
      </c>
      <c r="B3" s="563" t="str">
        <f>Capa!D5</f>
        <v>HOSPITAL REGIONAL TEREZINHA GAIO BASSO</v>
      </c>
      <c r="C3" s="564"/>
      <c r="D3" s="564"/>
      <c r="E3" s="564"/>
      <c r="F3" s="134"/>
      <c r="G3" s="134"/>
      <c r="H3" s="134"/>
      <c r="I3" s="189"/>
    </row>
    <row r="4" spans="1:9" ht="19.5" customHeight="1">
      <c r="A4" s="135" t="s">
        <v>7</v>
      </c>
      <c r="B4" s="565">
        <f>Assistencial!B4</f>
        <v>45778</v>
      </c>
      <c r="C4" s="565"/>
      <c r="D4" s="134"/>
      <c r="E4" s="134"/>
      <c r="F4" s="134"/>
      <c r="G4" s="134"/>
      <c r="H4" s="134"/>
      <c r="I4" s="188"/>
    </row>
    <row r="5" spans="1:9" ht="23.1" customHeight="1">
      <c r="A5" s="136"/>
    </row>
    <row r="6" spans="1:9" ht="19.5" customHeight="1">
      <c r="A6" s="566" t="s">
        <v>178</v>
      </c>
      <c r="B6" s="567"/>
      <c r="C6" s="137" t="s">
        <v>42</v>
      </c>
    </row>
    <row r="7" spans="1:9" ht="19.5" customHeight="1">
      <c r="A7" s="568" t="s">
        <v>179</v>
      </c>
      <c r="B7" s="569"/>
      <c r="C7" s="138">
        <v>756</v>
      </c>
    </row>
    <row r="8" spans="1:9" ht="19.5" customHeight="1">
      <c r="A8" s="570" t="s">
        <v>180</v>
      </c>
      <c r="B8" s="571"/>
      <c r="C8" s="139">
        <f>B29</f>
        <v>759</v>
      </c>
    </row>
    <row r="9" spans="1:9" ht="19.5" customHeight="1">
      <c r="A9" s="136"/>
    </row>
    <row r="10" spans="1:9" ht="19.5" customHeight="1">
      <c r="A10" s="572" t="s">
        <v>181</v>
      </c>
      <c r="B10" s="573"/>
      <c r="C10" s="573"/>
      <c r="D10" s="573"/>
      <c r="E10" s="573"/>
      <c r="F10" s="574"/>
    </row>
    <row r="11" spans="1:9" ht="38.1" customHeight="1">
      <c r="A11" s="140"/>
      <c r="B11" s="575" t="s">
        <v>182</v>
      </c>
      <c r="C11" s="576"/>
      <c r="D11" s="577" t="s">
        <v>183</v>
      </c>
      <c r="E11" s="578"/>
      <c r="F11" s="142"/>
    </row>
    <row r="12" spans="1:9" ht="19.5" customHeight="1">
      <c r="A12" s="140"/>
      <c r="B12" s="579">
        <v>19</v>
      </c>
      <c r="C12" s="580"/>
      <c r="D12" s="581">
        <f>B12/B29</f>
        <v>2.5032938076416336E-2</v>
      </c>
      <c r="E12" s="582"/>
      <c r="F12" s="142"/>
    </row>
    <row r="13" spans="1:9" ht="19.5" customHeight="1">
      <c r="A13" s="143"/>
      <c r="F13" s="144"/>
    </row>
    <row r="14" spans="1:9" ht="19.5" customHeight="1">
      <c r="A14" s="145"/>
      <c r="B14" s="583" t="s">
        <v>184</v>
      </c>
      <c r="C14" s="584"/>
      <c r="D14" s="584"/>
      <c r="E14" s="584"/>
      <c r="F14" s="585"/>
    </row>
    <row r="15" spans="1:9" ht="57.95" customHeight="1">
      <c r="A15" s="146"/>
      <c r="B15" s="147" t="s">
        <v>185</v>
      </c>
      <c r="C15" s="148" t="s">
        <v>186</v>
      </c>
      <c r="D15" s="148" t="s">
        <v>187</v>
      </c>
      <c r="E15" s="148" t="s">
        <v>188</v>
      </c>
      <c r="F15" s="76" t="s">
        <v>189</v>
      </c>
    </row>
    <row r="16" spans="1:9" ht="19.5" customHeight="1">
      <c r="A16" s="114"/>
      <c r="B16" s="149">
        <v>10</v>
      </c>
      <c r="C16" s="150">
        <v>2</v>
      </c>
      <c r="D16" s="150">
        <v>272</v>
      </c>
      <c r="E16" s="150">
        <v>4</v>
      </c>
      <c r="F16" s="151">
        <v>170</v>
      </c>
    </row>
    <row r="17" spans="1:9" ht="19.5" customHeight="1">
      <c r="A17" s="145"/>
      <c r="B17" s="152"/>
      <c r="C17" s="152"/>
      <c r="D17" s="152"/>
      <c r="E17" s="152"/>
      <c r="F17" s="153"/>
    </row>
    <row r="18" spans="1:9" ht="19.5" customHeight="1">
      <c r="A18" s="145"/>
      <c r="B18" s="586" t="s">
        <v>190</v>
      </c>
      <c r="C18" s="587"/>
      <c r="D18" s="588"/>
      <c r="E18" s="152"/>
      <c r="F18" s="153"/>
    </row>
    <row r="19" spans="1:9" ht="19.5" customHeight="1">
      <c r="A19" s="143"/>
      <c r="B19" s="154" t="s">
        <v>191</v>
      </c>
      <c r="C19" s="155" t="s">
        <v>192</v>
      </c>
      <c r="D19" s="156" t="s">
        <v>193</v>
      </c>
      <c r="F19" s="157"/>
    </row>
    <row r="20" spans="1:9" ht="19.5" customHeight="1">
      <c r="A20" s="143"/>
      <c r="B20" s="158">
        <f>B16/Assistencial!I14*1000</f>
        <v>33.333333333333336</v>
      </c>
      <c r="C20" s="159">
        <f>C16/D16*1000</f>
        <v>7.3529411764705879</v>
      </c>
      <c r="D20" s="410">
        <f>F16/Assistencial!I14</f>
        <v>0.56666666666666665</v>
      </c>
      <c r="F20" s="157"/>
    </row>
    <row r="21" spans="1:9" ht="68.099999999999994" customHeight="1">
      <c r="A21" s="589" t="s">
        <v>194</v>
      </c>
      <c r="B21" s="590"/>
      <c r="C21" s="590"/>
      <c r="D21" s="590"/>
      <c r="E21" s="590"/>
      <c r="F21" s="591"/>
    </row>
    <row r="22" spans="1:9" ht="19.5" customHeight="1">
      <c r="A22" s="136"/>
    </row>
    <row r="23" spans="1:9" ht="19.5" customHeight="1">
      <c r="A23" s="136"/>
    </row>
    <row r="24" spans="1:9" ht="19.5" customHeight="1">
      <c r="A24" s="592" t="s">
        <v>195</v>
      </c>
      <c r="B24" s="593"/>
      <c r="C24" s="160"/>
      <c r="D24" s="572" t="s">
        <v>196</v>
      </c>
      <c r="E24" s="573"/>
      <c r="F24" s="573"/>
      <c r="G24" s="573"/>
      <c r="H24" s="573"/>
      <c r="I24" s="574"/>
    </row>
    <row r="25" spans="1:9" ht="51" customHeight="1">
      <c r="A25" s="161"/>
      <c r="B25" s="162" t="s">
        <v>42</v>
      </c>
      <c r="D25" s="163"/>
      <c r="E25" s="141" t="s">
        <v>197</v>
      </c>
      <c r="F25" s="141" t="s">
        <v>198</v>
      </c>
      <c r="G25" s="141" t="s">
        <v>199</v>
      </c>
      <c r="H25" s="141" t="s">
        <v>491</v>
      </c>
      <c r="I25" s="190" t="s">
        <v>518</v>
      </c>
    </row>
    <row r="26" spans="1:9" ht="39" customHeight="1">
      <c r="A26" s="164" t="s">
        <v>200</v>
      </c>
      <c r="B26" s="27">
        <v>33</v>
      </c>
      <c r="D26" s="161" t="s">
        <v>201</v>
      </c>
      <c r="E26" s="165">
        <v>114</v>
      </c>
      <c r="F26" s="165">
        <v>0</v>
      </c>
      <c r="G26" s="166">
        <f>F26/E26</f>
        <v>0</v>
      </c>
      <c r="H26" s="165">
        <v>129</v>
      </c>
      <c r="I26" s="191">
        <f>H26/H32</f>
        <v>0.25595238095238093</v>
      </c>
    </row>
    <row r="27" spans="1:9" ht="19.5" customHeight="1">
      <c r="A27" s="164" t="s">
        <v>202</v>
      </c>
      <c r="B27" s="27">
        <v>5</v>
      </c>
      <c r="D27" s="163" t="s">
        <v>203</v>
      </c>
      <c r="E27" s="29">
        <v>264</v>
      </c>
      <c r="F27" s="29">
        <v>1</v>
      </c>
      <c r="G27" s="167">
        <f>F27/E27</f>
        <v>3.787878787878788E-3</v>
      </c>
      <c r="H27" s="29">
        <v>289</v>
      </c>
      <c r="I27" s="192">
        <f>H27/H32</f>
        <v>0.57341269841269837</v>
      </c>
    </row>
    <row r="28" spans="1:9" ht="30" customHeight="1">
      <c r="A28" s="163" t="s">
        <v>204</v>
      </c>
      <c r="B28" s="168">
        <f>E32</f>
        <v>456</v>
      </c>
      <c r="C28" s="109"/>
      <c r="D28" s="163" t="s">
        <v>205</v>
      </c>
      <c r="E28" s="29">
        <v>73</v>
      </c>
      <c r="F28" s="29">
        <v>3</v>
      </c>
      <c r="G28" s="167">
        <f>F28/E28</f>
        <v>4.1095890410958902E-2</v>
      </c>
      <c r="H28" s="29">
        <v>80</v>
      </c>
      <c r="I28" s="192">
        <f>H28/H32</f>
        <v>0.15873015873015872</v>
      </c>
    </row>
    <row r="29" spans="1:9" ht="24" customHeight="1">
      <c r="A29" s="169" t="s">
        <v>206</v>
      </c>
      <c r="B29" s="170">
        <f>Assistencial!F15</f>
        <v>759</v>
      </c>
      <c r="D29" s="163" t="s">
        <v>207</v>
      </c>
      <c r="E29" s="29">
        <v>5</v>
      </c>
      <c r="F29" s="29">
        <v>1</v>
      </c>
      <c r="G29" s="167">
        <f>F29/E29</f>
        <v>0.2</v>
      </c>
      <c r="H29" s="29">
        <v>6</v>
      </c>
      <c r="I29" s="192">
        <f>H29/H32</f>
        <v>1.1904761904761904E-2</v>
      </c>
    </row>
    <row r="30" spans="1:9" ht="18.95" customHeight="1">
      <c r="A30" s="145"/>
      <c r="B30" s="109"/>
      <c r="D30" s="163" t="s">
        <v>208</v>
      </c>
      <c r="E30" s="29">
        <v>0</v>
      </c>
      <c r="F30" s="29">
        <v>0</v>
      </c>
      <c r="G30" s="167" t="e">
        <f>F30/E30</f>
        <v>#DIV/0!</v>
      </c>
      <c r="H30" s="29">
        <v>0</v>
      </c>
      <c r="I30" s="192">
        <f>H30/H32</f>
        <v>0</v>
      </c>
    </row>
    <row r="31" spans="1:9" ht="33" customHeight="1">
      <c r="A31" s="572" t="s">
        <v>209</v>
      </c>
      <c r="B31" s="574"/>
      <c r="C31" s="171"/>
      <c r="D31" s="169" t="s">
        <v>210</v>
      </c>
      <c r="E31" s="172">
        <v>0</v>
      </c>
      <c r="F31" s="173" t="s">
        <v>57</v>
      </c>
      <c r="G31" s="173" t="s">
        <v>57</v>
      </c>
      <c r="H31" s="173" t="s">
        <v>57</v>
      </c>
      <c r="I31" s="193" t="s">
        <v>57</v>
      </c>
    </row>
    <row r="32" spans="1:9" ht="18.95" customHeight="1">
      <c r="A32" s="163"/>
      <c r="B32" s="174" t="s">
        <v>211</v>
      </c>
      <c r="C32" s="171"/>
      <c r="D32" s="175" t="s">
        <v>14</v>
      </c>
      <c r="E32" s="176">
        <f>SUM(E26:E31)</f>
        <v>456</v>
      </c>
      <c r="F32" s="176">
        <f>SUM(F26:F30)</f>
        <v>5</v>
      </c>
      <c r="G32" s="177" t="e">
        <f>SUM(G26:G30)</f>
        <v>#DIV/0!</v>
      </c>
      <c r="H32" s="176">
        <f>SUM(H26:H30)</f>
        <v>504</v>
      </c>
      <c r="I32" s="194">
        <f>SUM(I26:I30)</f>
        <v>0.99999999999999989</v>
      </c>
    </row>
    <row r="33" spans="1:9" ht="45" customHeight="1">
      <c r="A33" s="178" t="s">
        <v>199</v>
      </c>
      <c r="B33" s="179">
        <f>B27/B28</f>
        <v>1.0964912280701754E-2</v>
      </c>
      <c r="C33" s="171"/>
      <c r="D33" s="598" t="s">
        <v>212</v>
      </c>
      <c r="E33" s="598"/>
      <c r="F33" s="598"/>
      <c r="G33" s="598"/>
      <c r="H33" s="598"/>
      <c r="I33" s="602"/>
    </row>
    <row r="34" spans="1:9" ht="18" customHeight="1">
      <c r="A34" s="145"/>
      <c r="C34" s="171"/>
      <c r="I34" s="144"/>
    </row>
    <row r="35" spans="1:9" ht="33" customHeight="1">
      <c r="A35" s="603" t="s">
        <v>213</v>
      </c>
      <c r="B35" s="604"/>
      <c r="C35" s="171"/>
      <c r="I35" s="144"/>
    </row>
    <row r="36" spans="1:9" ht="18.95" customHeight="1">
      <c r="A36" s="145"/>
      <c r="B36" s="180" t="s">
        <v>211</v>
      </c>
      <c r="C36" s="171"/>
      <c r="I36" s="144"/>
    </row>
    <row r="37" spans="1:9" ht="24.95" customHeight="1">
      <c r="A37" s="178" t="s">
        <v>214</v>
      </c>
      <c r="B37" s="179">
        <f>(B26/B29)</f>
        <v>4.3478260869565216E-2</v>
      </c>
      <c r="C37" s="171"/>
      <c r="I37" s="144"/>
    </row>
    <row r="38" spans="1:9" ht="24.95" customHeight="1">
      <c r="A38" s="145"/>
      <c r="C38" s="171"/>
      <c r="I38" s="144"/>
    </row>
    <row r="39" spans="1:9" ht="19.5" customHeight="1">
      <c r="A39" s="572" t="s">
        <v>215</v>
      </c>
      <c r="B39" s="573"/>
      <c r="C39" s="573"/>
      <c r="D39" s="573"/>
      <c r="E39" s="573"/>
      <c r="F39" s="573"/>
      <c r="G39" s="573"/>
      <c r="H39" s="574"/>
      <c r="I39" s="144"/>
    </row>
    <row r="40" spans="1:9" ht="19.5" customHeight="1">
      <c r="A40" s="163"/>
      <c r="B40" s="181" t="s">
        <v>216</v>
      </c>
      <c r="C40" s="181" t="s">
        <v>217</v>
      </c>
      <c r="D40" s="181" t="s">
        <v>218</v>
      </c>
      <c r="E40" s="181" t="s">
        <v>219</v>
      </c>
      <c r="F40" s="181" t="s">
        <v>220</v>
      </c>
      <c r="G40" s="181" t="s">
        <v>221</v>
      </c>
      <c r="H40" s="182" t="s">
        <v>222</v>
      </c>
      <c r="I40" s="144"/>
    </row>
    <row r="41" spans="1:9" ht="19.5" customHeight="1">
      <c r="A41" s="163" t="s">
        <v>223</v>
      </c>
      <c r="B41" s="8">
        <v>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144"/>
    </row>
    <row r="42" spans="1:9" ht="19.5" customHeight="1">
      <c r="A42" s="163" t="s">
        <v>224</v>
      </c>
      <c r="B42" s="8">
        <v>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144"/>
    </row>
    <row r="43" spans="1:9" ht="19.5" customHeight="1">
      <c r="A43" s="163" t="s">
        <v>225</v>
      </c>
      <c r="B43" s="8">
        <v>0</v>
      </c>
      <c r="C43" s="8">
        <v>0</v>
      </c>
      <c r="D43" s="8">
        <v>0</v>
      </c>
      <c r="E43" s="8">
        <v>1</v>
      </c>
      <c r="F43" s="8">
        <v>0</v>
      </c>
      <c r="G43" s="8">
        <v>0</v>
      </c>
      <c r="H43" s="8">
        <v>0</v>
      </c>
      <c r="I43" s="144"/>
    </row>
    <row r="44" spans="1:9" ht="19.5" customHeight="1">
      <c r="A44" s="163" t="s">
        <v>226</v>
      </c>
      <c r="B44" s="8">
        <v>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144"/>
    </row>
    <row r="45" spans="1:9" ht="19.5" customHeight="1">
      <c r="A45" s="163" t="s">
        <v>227</v>
      </c>
      <c r="B45" s="8">
        <v>0</v>
      </c>
      <c r="C45" s="8">
        <v>0</v>
      </c>
      <c r="D45" s="8">
        <v>0</v>
      </c>
      <c r="E45" s="8">
        <v>1</v>
      </c>
      <c r="F45" s="8">
        <v>0</v>
      </c>
      <c r="G45" s="8">
        <v>0</v>
      </c>
      <c r="H45" s="8">
        <v>0</v>
      </c>
      <c r="I45" s="144"/>
    </row>
    <row r="46" spans="1:9" ht="19.5" customHeight="1">
      <c r="A46" s="163" t="s">
        <v>228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144"/>
    </row>
    <row r="47" spans="1:9" ht="19.5" customHeight="1">
      <c r="A47" s="163" t="s">
        <v>229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144"/>
    </row>
    <row r="48" spans="1:9" ht="19.5" customHeight="1">
      <c r="A48" s="163" t="s">
        <v>230</v>
      </c>
      <c r="B48" s="8">
        <v>3</v>
      </c>
      <c r="C48" s="8">
        <v>0</v>
      </c>
      <c r="D48" s="8">
        <v>2</v>
      </c>
      <c r="E48" s="8">
        <v>0</v>
      </c>
      <c r="F48" s="8">
        <v>0</v>
      </c>
      <c r="G48" s="8">
        <v>0</v>
      </c>
      <c r="H48" s="8">
        <v>0</v>
      </c>
      <c r="I48" s="144"/>
    </row>
    <row r="49" spans="1:9" ht="19.5" customHeight="1">
      <c r="A49" s="163" t="s">
        <v>231</v>
      </c>
      <c r="B49" s="8">
        <v>2</v>
      </c>
      <c r="C49" s="8">
        <v>0</v>
      </c>
      <c r="D49" s="8">
        <v>2</v>
      </c>
      <c r="E49" s="8">
        <v>0</v>
      </c>
      <c r="F49" s="8">
        <v>0</v>
      </c>
      <c r="G49" s="8">
        <v>0</v>
      </c>
      <c r="H49" s="8">
        <v>0</v>
      </c>
      <c r="I49" s="144"/>
    </row>
    <row r="50" spans="1:9" ht="19.5" customHeight="1">
      <c r="A50" s="163" t="s">
        <v>232</v>
      </c>
      <c r="B50" s="8">
        <v>82</v>
      </c>
      <c r="C50" s="8">
        <v>0</v>
      </c>
      <c r="D50" s="8">
        <v>81</v>
      </c>
      <c r="E50" s="8">
        <v>0</v>
      </c>
      <c r="F50" s="8">
        <v>0</v>
      </c>
      <c r="G50" s="8">
        <v>0</v>
      </c>
      <c r="H50" s="8">
        <v>0</v>
      </c>
      <c r="I50" s="144"/>
    </row>
    <row r="51" spans="1:9" ht="19.5" customHeight="1">
      <c r="A51" s="169" t="s">
        <v>14</v>
      </c>
      <c r="B51" s="183">
        <f>SUM(B41:B50)</f>
        <v>88</v>
      </c>
      <c r="C51" s="183">
        <f t="shared" ref="C51:H51" si="0">SUM(C41:C50)</f>
        <v>0</v>
      </c>
      <c r="D51" s="183">
        <f t="shared" si="0"/>
        <v>85</v>
      </c>
      <c r="E51" s="183">
        <f t="shared" si="0"/>
        <v>2</v>
      </c>
      <c r="F51" s="183">
        <f t="shared" si="0"/>
        <v>0</v>
      </c>
      <c r="G51" s="183">
        <f t="shared" si="0"/>
        <v>0</v>
      </c>
      <c r="H51" s="184">
        <f t="shared" si="0"/>
        <v>0</v>
      </c>
      <c r="I51" s="195"/>
    </row>
    <row r="52" spans="1:9" ht="19.5" customHeight="1">
      <c r="B52" s="109"/>
      <c r="C52" s="109"/>
      <c r="D52" s="109"/>
      <c r="E52" s="109"/>
      <c r="F52" s="109"/>
      <c r="G52" s="109"/>
      <c r="H52" s="109"/>
    </row>
    <row r="53" spans="1:9" ht="19.5" customHeight="1">
      <c r="A53"/>
      <c r="B53"/>
      <c r="C53"/>
      <c r="D53"/>
    </row>
    <row r="54" spans="1:9" ht="30" customHeight="1">
      <c r="A54" s="605" t="s">
        <v>233</v>
      </c>
      <c r="B54" s="606"/>
      <c r="C54" s="606"/>
      <c r="D54" s="607"/>
    </row>
    <row r="55" spans="1:9" ht="41.1" customHeight="1">
      <c r="A55" s="594" t="s">
        <v>234</v>
      </c>
      <c r="B55" s="595"/>
      <c r="C55" s="185">
        <v>3</v>
      </c>
      <c r="D55" s="600">
        <f>C55/C56</f>
        <v>6.8181818181818177E-2</v>
      </c>
    </row>
    <row r="56" spans="1:9" ht="33.950000000000003" customHeight="1">
      <c r="A56" s="596" t="s">
        <v>235</v>
      </c>
      <c r="B56" s="597"/>
      <c r="C56" s="186">
        <v>44</v>
      </c>
      <c r="D56" s="601"/>
    </row>
    <row r="57" spans="1:9" ht="80.099999999999994" customHeight="1">
      <c r="A57" s="598" t="s">
        <v>236</v>
      </c>
      <c r="B57" s="599"/>
      <c r="C57" s="599"/>
      <c r="D57" s="599"/>
      <c r="H57" s="187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tabSelected="1" view="pageLayout" topLeftCell="A4" zoomScaleNormal="100" zoomScaleSheetLayoutView="100" workbookViewId="0">
      <selection activeCell="E23" sqref="E23"/>
    </sheetView>
  </sheetViews>
  <sheetFormatPr defaultColWidth="9" defaultRowHeight="17.25" customHeight="1"/>
  <cols>
    <col min="1" max="1" width="47.42578125" style="109" customWidth="1"/>
    <col min="2" max="2" width="20" style="110" customWidth="1"/>
    <col min="3" max="3" width="18.28515625" style="110" customWidth="1"/>
    <col min="4" max="4" width="17.85546875" style="110" customWidth="1"/>
    <col min="5" max="5" width="14.28515625" style="110" customWidth="1"/>
    <col min="6" max="6" width="18.7109375" style="110" customWidth="1"/>
    <col min="7" max="9" width="14.28515625" style="109" customWidth="1"/>
    <col min="10" max="10" width="16.85546875" style="109" customWidth="1"/>
    <col min="11" max="16383" width="9.140625" style="109"/>
    <col min="16384" max="16384" width="9" style="109"/>
  </cols>
  <sheetData>
    <row r="1" spans="1:10" s="108" customFormat="1" ht="17.25" customHeight="1">
      <c r="A1" s="608" t="s">
        <v>237</v>
      </c>
      <c r="B1" s="609"/>
      <c r="C1" s="609"/>
      <c r="D1" s="609"/>
      <c r="E1" s="609"/>
      <c r="F1" s="609"/>
      <c r="G1" s="609"/>
      <c r="H1" s="609"/>
      <c r="I1" s="609"/>
      <c r="J1" s="609"/>
    </row>
    <row r="2" spans="1:10" s="108" customFormat="1" ht="17.25" customHeight="1">
      <c r="A2" s="111"/>
      <c r="B2" s="112"/>
      <c r="C2" s="112"/>
      <c r="D2" s="112"/>
      <c r="E2" s="113"/>
      <c r="F2" s="113"/>
    </row>
    <row r="3" spans="1:10" s="108" customFormat="1" ht="17.25" customHeight="1">
      <c r="A3" s="114" t="s">
        <v>6</v>
      </c>
      <c r="B3" s="610" t="str">
        <f>Capa!D5</f>
        <v>HOSPITAL REGIONAL TEREZINHA GAIO BASSO</v>
      </c>
      <c r="C3" s="611"/>
      <c r="D3" s="611"/>
      <c r="E3" s="611"/>
      <c r="F3" s="113"/>
    </row>
    <row r="4" spans="1:10" s="108" customFormat="1" ht="17.25" customHeight="1">
      <c r="A4" s="114" t="s">
        <v>7</v>
      </c>
      <c r="B4" s="612">
        <v>45778</v>
      </c>
      <c r="C4" s="612"/>
      <c r="D4" s="115"/>
      <c r="E4" s="115"/>
      <c r="F4" s="113"/>
    </row>
    <row r="5" spans="1:10" s="108" customFormat="1" ht="17.25" customHeight="1">
      <c r="A5" s="114"/>
      <c r="B5" s="116"/>
      <c r="C5" s="116"/>
      <c r="D5" s="115"/>
      <c r="E5" s="115"/>
      <c r="F5" s="113"/>
    </row>
    <row r="6" spans="1:10" s="108" customFormat="1" ht="17.25" customHeight="1">
      <c r="A6" s="572" t="s">
        <v>238</v>
      </c>
      <c r="B6" s="573"/>
      <c r="C6" s="573"/>
      <c r="D6" s="573"/>
      <c r="E6" s="573"/>
      <c r="F6" s="574"/>
    </row>
    <row r="7" spans="1:10" s="108" customFormat="1" ht="57" customHeight="1">
      <c r="A7" s="613" t="s">
        <v>239</v>
      </c>
      <c r="B7" s="576"/>
      <c r="C7" s="614" t="s">
        <v>240</v>
      </c>
      <c r="D7" s="614"/>
      <c r="E7" s="614" t="s">
        <v>241</v>
      </c>
      <c r="F7" s="615"/>
    </row>
    <row r="8" spans="1:10" s="108" customFormat="1" ht="28.5" customHeight="1">
      <c r="A8" s="616" t="s">
        <v>242</v>
      </c>
      <c r="B8" s="617"/>
      <c r="C8" s="576">
        <v>2937</v>
      </c>
      <c r="D8" s="576"/>
      <c r="E8" s="576">
        <v>277</v>
      </c>
      <c r="F8" s="618"/>
    </row>
    <row r="9" spans="1:10" s="108" customFormat="1" ht="25.5" customHeight="1">
      <c r="A9" s="616" t="s">
        <v>243</v>
      </c>
      <c r="B9" s="617"/>
      <c r="C9" s="576">
        <v>759</v>
      </c>
      <c r="D9" s="576"/>
      <c r="E9" s="576">
        <v>178</v>
      </c>
      <c r="F9" s="618"/>
    </row>
    <row r="10" spans="1:10" s="108" customFormat="1" ht="30" customHeight="1">
      <c r="A10" s="616" t="s">
        <v>244</v>
      </c>
      <c r="B10" s="617"/>
      <c r="C10" s="576">
        <f>3528+3826</f>
        <v>7354</v>
      </c>
      <c r="D10" s="576"/>
      <c r="E10" s="576">
        <v>345</v>
      </c>
      <c r="F10" s="618"/>
    </row>
    <row r="11" spans="1:10" s="108" customFormat="1" ht="17.25" customHeight="1">
      <c r="A11" s="616" t="s">
        <v>245</v>
      </c>
      <c r="B11" s="617"/>
      <c r="C11" s="576">
        <v>667</v>
      </c>
      <c r="D11" s="576"/>
      <c r="E11" s="576">
        <v>157</v>
      </c>
      <c r="F11" s="618"/>
    </row>
    <row r="12" spans="1:10" s="108" customFormat="1" ht="17.25" customHeight="1">
      <c r="A12" s="619" t="s">
        <v>14</v>
      </c>
      <c r="B12" s="620"/>
      <c r="C12" s="621">
        <f>SUM(C8:D11)</f>
        <v>11717</v>
      </c>
      <c r="D12" s="621"/>
      <c r="E12" s="621">
        <f>SUM(E8:F11)</f>
        <v>957</v>
      </c>
      <c r="F12" s="622"/>
    </row>
    <row r="13" spans="1:10" s="108" customFormat="1" ht="18" customHeight="1">
      <c r="A13" s="117"/>
      <c r="B13" s="118"/>
      <c r="C13" s="113"/>
      <c r="D13" s="119"/>
      <c r="E13" s="115"/>
      <c r="F13" s="113"/>
    </row>
    <row r="14" spans="1:10" ht="17.25" customHeight="1">
      <c r="A14" s="539" t="s">
        <v>246</v>
      </c>
      <c r="B14" s="540"/>
      <c r="C14" s="540"/>
      <c r="D14" s="540"/>
      <c r="E14" s="540"/>
      <c r="F14" s="540"/>
      <c r="G14" s="540"/>
      <c r="H14" s="540"/>
      <c r="I14" s="540"/>
      <c r="J14" s="540"/>
    </row>
    <row r="15" spans="1:10" ht="38.1" customHeight="1">
      <c r="A15" s="120" t="s">
        <v>247</v>
      </c>
      <c r="B15" s="121" t="s">
        <v>248</v>
      </c>
      <c r="C15" s="121" t="s">
        <v>249</v>
      </c>
      <c r="D15" s="121" t="s">
        <v>250</v>
      </c>
      <c r="E15" s="121" t="s">
        <v>251</v>
      </c>
      <c r="F15" s="121" t="s">
        <v>252</v>
      </c>
      <c r="G15" s="121" t="s">
        <v>253</v>
      </c>
      <c r="H15" s="121" t="s">
        <v>490</v>
      </c>
      <c r="I15" s="121" t="s">
        <v>254</v>
      </c>
      <c r="J15" s="129" t="s">
        <v>255</v>
      </c>
    </row>
    <row r="16" spans="1:10" ht="17.25" customHeight="1">
      <c r="A16" s="122" t="s">
        <v>256</v>
      </c>
      <c r="B16" s="123">
        <f>C8</f>
        <v>2937</v>
      </c>
      <c r="C16" s="124">
        <v>390</v>
      </c>
      <c r="D16" s="124">
        <v>2183</v>
      </c>
      <c r="E16" s="124">
        <v>83</v>
      </c>
      <c r="F16" s="124">
        <v>114</v>
      </c>
      <c r="G16" s="125">
        <f>SUM(C16:F16)</f>
        <v>2770</v>
      </c>
      <c r="H16" s="343">
        <f>(E8/C8)*100</f>
        <v>9.4313925774599934</v>
      </c>
      <c r="I16" s="126">
        <f>(C16+D16)/G16</f>
        <v>0.92888086642599277</v>
      </c>
      <c r="J16" s="130">
        <f>(E16+F16)/G16</f>
        <v>7.1119133574007218E-2</v>
      </c>
    </row>
    <row r="17" spans="1:10" ht="17.25" customHeight="1">
      <c r="A17" s="122" t="s">
        <v>257</v>
      </c>
      <c r="B17" s="123">
        <f>C9</f>
        <v>759</v>
      </c>
      <c r="C17" s="124">
        <v>300</v>
      </c>
      <c r="D17" s="124">
        <v>1101</v>
      </c>
      <c r="E17" s="124">
        <v>35</v>
      </c>
      <c r="F17" s="124">
        <v>27</v>
      </c>
      <c r="G17" s="125">
        <f>SUM(C17:F17)</f>
        <v>1463</v>
      </c>
      <c r="H17" s="343">
        <f t="shared" ref="H17:H19" si="0">(E9/C9)*100</f>
        <v>23.451910408432148</v>
      </c>
      <c r="I17" s="126">
        <f>(C17+D17)/G17</f>
        <v>0.95762132604237871</v>
      </c>
      <c r="J17" s="130">
        <f>(E17+F17)/G17</f>
        <v>4.2378673957621328E-2</v>
      </c>
    </row>
    <row r="18" spans="1:10" ht="17.25" customHeight="1">
      <c r="A18" s="122" t="s">
        <v>258</v>
      </c>
      <c r="B18" s="123">
        <f>C10</f>
        <v>7354</v>
      </c>
      <c r="C18" s="124">
        <v>735</v>
      </c>
      <c r="D18" s="124">
        <v>2257</v>
      </c>
      <c r="E18" s="124">
        <v>99</v>
      </c>
      <c r="F18" s="124">
        <v>41</v>
      </c>
      <c r="G18" s="125">
        <f>SUM(C18:F18)</f>
        <v>3132</v>
      </c>
      <c r="H18" s="343">
        <f t="shared" si="0"/>
        <v>4.6913244492793034</v>
      </c>
      <c r="I18" s="126">
        <f>(C18+D18)/G18</f>
        <v>0.95530012771392081</v>
      </c>
      <c r="J18" s="130">
        <f>(E18+F18)/G18</f>
        <v>4.4699872286079183E-2</v>
      </c>
    </row>
    <row r="19" spans="1:10" ht="17.25" customHeight="1">
      <c r="A19" s="122" t="s">
        <v>259</v>
      </c>
      <c r="B19" s="123">
        <f>C11</f>
        <v>667</v>
      </c>
      <c r="C19" s="124">
        <v>226</v>
      </c>
      <c r="D19" s="124">
        <v>1173</v>
      </c>
      <c r="E19" s="124">
        <v>6</v>
      </c>
      <c r="F19" s="124">
        <v>8</v>
      </c>
      <c r="G19" s="125">
        <f>SUM(C19:F19)</f>
        <v>1413</v>
      </c>
      <c r="H19" s="343">
        <f t="shared" si="0"/>
        <v>23.53823088455772</v>
      </c>
      <c r="I19" s="126">
        <f>(C19+D19)/G19</f>
        <v>0.9900920028308563</v>
      </c>
      <c r="J19" s="130">
        <f>(E19+F19)/G19</f>
        <v>9.9079971691436661E-3</v>
      </c>
    </row>
    <row r="20" spans="1:10" ht="17.25" customHeight="1" thickBot="1">
      <c r="A20" s="127" t="s">
        <v>260</v>
      </c>
      <c r="B20" s="412">
        <f>SUM(B16+B18+B17+B19)</f>
        <v>11717</v>
      </c>
      <c r="C20" s="412">
        <f>SUM(C16+C18+C17+C19)</f>
        <v>1651</v>
      </c>
      <c r="D20" s="412">
        <f>SUM(D16+D18+D17+D19)</f>
        <v>6714</v>
      </c>
      <c r="E20" s="412">
        <f>SUM(E16+E18+E17+E19)</f>
        <v>223</v>
      </c>
      <c r="F20" s="412">
        <f>SUM(F16+F18+F17+F19)</f>
        <v>190</v>
      </c>
      <c r="G20" s="412">
        <f>SUM(G16:G19)</f>
        <v>8778</v>
      </c>
      <c r="H20" s="437">
        <f>SUM(H16:H19)</f>
        <v>61.11285831972917</v>
      </c>
      <c r="I20" s="128">
        <f>(C20+D20)/G20</f>
        <v>0.9529505582137161</v>
      </c>
      <c r="J20" s="131">
        <f>(E20+F20)/G20</f>
        <v>4.704944178628389E-2</v>
      </c>
    </row>
    <row r="21" spans="1:10" ht="17.25" customHeight="1">
      <c r="A21" s="623" t="s">
        <v>261</v>
      </c>
      <c r="B21" s="624"/>
      <c r="C21" s="624"/>
      <c r="D21" s="624"/>
      <c r="E21" s="624"/>
      <c r="F21" s="624"/>
      <c r="G21" s="624"/>
      <c r="H21" s="624"/>
      <c r="I21" s="624"/>
      <c r="J21" s="624"/>
    </row>
    <row r="22" spans="1:10" ht="17.25" customHeight="1">
      <c r="A22" s="624"/>
      <c r="B22" s="624"/>
      <c r="C22" s="624"/>
      <c r="D22" s="624"/>
      <c r="E22" s="624"/>
      <c r="F22" s="624"/>
      <c r="G22" s="624"/>
      <c r="H22" s="624"/>
      <c r="I22" s="624"/>
      <c r="J22" s="624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2"/>
  <sheetViews>
    <sheetView showGridLines="0" showWhiteSpace="0" topLeftCell="A19" zoomScaleNormal="100" zoomScaleSheetLayoutView="100" zoomScalePageLayoutView="70" workbookViewId="0">
      <selection activeCell="B30" sqref="B30"/>
    </sheetView>
  </sheetViews>
  <sheetFormatPr defaultColWidth="9" defaultRowHeight="15"/>
  <cols>
    <col min="1" max="1" width="35.140625" style="45" customWidth="1"/>
    <col min="2" max="2" width="12.5703125" style="46" customWidth="1"/>
    <col min="3" max="3" width="12.28515625" style="47" customWidth="1"/>
    <col min="4" max="4" width="47.85546875" style="47" customWidth="1"/>
    <col min="5" max="5" width="14.140625" style="47" customWidth="1"/>
    <col min="6" max="6" width="9.5703125" style="47" customWidth="1"/>
    <col min="7" max="7" width="8" style="46" customWidth="1"/>
    <col min="8" max="8" width="10.7109375" style="46" customWidth="1"/>
    <col min="9" max="9" width="41" style="46" customWidth="1"/>
    <col min="10" max="12" width="14.5703125" style="45" customWidth="1"/>
    <col min="13" max="16381" width="9.140625" style="45"/>
    <col min="16382" max="16384" width="9" style="45"/>
  </cols>
  <sheetData>
    <row r="1" spans="1:12" ht="18.600000000000001" customHeight="1">
      <c r="A1" s="631" t="s">
        <v>262</v>
      </c>
      <c r="B1" s="632"/>
      <c r="C1" s="632"/>
      <c r="D1" s="632"/>
      <c r="E1" s="632"/>
      <c r="F1" s="632"/>
      <c r="G1" s="632"/>
      <c r="H1" s="632"/>
      <c r="I1" s="632"/>
      <c r="J1" s="632"/>
      <c r="K1" s="632"/>
      <c r="L1" s="633"/>
    </row>
    <row r="2" spans="1:12" ht="18.600000000000001" customHeight="1">
      <c r="A2" s="48"/>
      <c r="B2" s="49"/>
      <c r="C2" s="50"/>
      <c r="D2" s="50"/>
      <c r="E2" s="50"/>
      <c r="F2" s="50"/>
      <c r="G2" s="50"/>
      <c r="H2" s="50"/>
      <c r="I2" s="49"/>
      <c r="J2" s="90"/>
      <c r="K2" s="90"/>
      <c r="L2" s="91"/>
    </row>
    <row r="3" spans="1:12" ht="18.600000000000001" customHeight="1">
      <c r="A3" s="51" t="s">
        <v>6</v>
      </c>
      <c r="B3" s="634" t="str">
        <f>Capa!D5</f>
        <v>HOSPITAL REGIONAL TEREZINHA GAIO BASSO</v>
      </c>
      <c r="C3" s="635"/>
      <c r="D3" s="635"/>
      <c r="E3" s="635"/>
      <c r="G3" s="47"/>
      <c r="H3" s="47"/>
      <c r="I3" s="81"/>
      <c r="L3" s="78"/>
    </row>
    <row r="4" spans="1:12" ht="18.600000000000001" customHeight="1">
      <c r="A4" s="51" t="s">
        <v>7</v>
      </c>
      <c r="B4" s="636">
        <v>45778</v>
      </c>
      <c r="C4" s="636"/>
      <c r="G4" s="47"/>
      <c r="H4" s="47"/>
      <c r="L4" s="78"/>
    </row>
    <row r="5" spans="1:12" ht="18.600000000000001" customHeight="1">
      <c r="A5" s="51"/>
      <c r="G5" s="47"/>
      <c r="H5" s="47"/>
      <c r="L5" s="78"/>
    </row>
    <row r="6" spans="1:12" ht="18.600000000000001" customHeight="1">
      <c r="A6" s="627" t="s">
        <v>263</v>
      </c>
      <c r="B6" s="628"/>
      <c r="C6" s="52"/>
      <c r="D6" s="637" t="s">
        <v>264</v>
      </c>
      <c r="E6" s="638"/>
      <c r="F6" s="638"/>
      <c r="G6" s="639"/>
      <c r="H6" s="45"/>
      <c r="I6" s="640" t="s">
        <v>265</v>
      </c>
      <c r="J6" s="641"/>
      <c r="K6" s="641"/>
      <c r="L6" s="642"/>
    </row>
    <row r="7" spans="1:12" ht="18.600000000000001" customHeight="1">
      <c r="A7" s="53"/>
      <c r="B7" s="54" t="s">
        <v>42</v>
      </c>
      <c r="C7" s="52"/>
      <c r="D7" s="55" t="s">
        <v>266</v>
      </c>
      <c r="E7" s="646"/>
      <c r="F7" s="646"/>
      <c r="G7" s="647"/>
      <c r="H7" s="56"/>
      <c r="I7" s="645" t="s">
        <v>266</v>
      </c>
      <c r="J7" s="625"/>
      <c r="K7" s="625"/>
      <c r="L7" s="626"/>
    </row>
    <row r="8" spans="1:12" ht="30">
      <c r="A8" s="57" t="s">
        <v>267</v>
      </c>
      <c r="B8" s="58">
        <f>B19+B29+B38+B48+B52+F72+K26</f>
        <v>526</v>
      </c>
      <c r="C8" s="52"/>
      <c r="D8" s="55"/>
      <c r="E8" s="59" t="s">
        <v>268</v>
      </c>
      <c r="F8" s="59" t="s">
        <v>269</v>
      </c>
      <c r="G8" s="60" t="s">
        <v>270</v>
      </c>
      <c r="H8" s="56"/>
      <c r="I8" s="645"/>
      <c r="J8" s="59" t="s">
        <v>268</v>
      </c>
      <c r="K8" s="59" t="s">
        <v>269</v>
      </c>
      <c r="L8" s="60" t="s">
        <v>270</v>
      </c>
    </row>
    <row r="9" spans="1:12" ht="18.600000000000001" customHeight="1">
      <c r="A9" s="61"/>
      <c r="B9" s="62" t="str">
        <f>IF(B19+B29+B38+B48+B52+E72+F72+G72+J26+K26+L26=B8,"OK","REVER")</f>
        <v>OK</v>
      </c>
      <c r="C9" s="52"/>
      <c r="D9" s="63" t="s">
        <v>271</v>
      </c>
      <c r="E9" s="64"/>
      <c r="F9" s="406">
        <v>1</v>
      </c>
      <c r="G9" s="65"/>
      <c r="H9" s="45"/>
      <c r="I9" s="63" t="s">
        <v>272</v>
      </c>
      <c r="J9" s="92"/>
      <c r="K9" s="408">
        <v>2</v>
      </c>
      <c r="L9" s="93"/>
    </row>
    <row r="10" spans="1:12" ht="18.600000000000001" customHeight="1">
      <c r="A10" s="61"/>
      <c r="B10" s="45"/>
      <c r="C10" s="52"/>
      <c r="D10" s="63" t="s">
        <v>273</v>
      </c>
      <c r="E10" s="64"/>
      <c r="F10" s="406">
        <v>1</v>
      </c>
      <c r="G10" s="65"/>
      <c r="H10" s="45"/>
      <c r="I10" s="63" t="s">
        <v>274</v>
      </c>
      <c r="J10" s="92"/>
      <c r="K10" s="408">
        <v>16</v>
      </c>
      <c r="L10" s="93"/>
    </row>
    <row r="11" spans="1:12" ht="18.600000000000001" customHeight="1">
      <c r="A11" s="627" t="s">
        <v>275</v>
      </c>
      <c r="B11" s="628"/>
      <c r="C11" s="52"/>
      <c r="D11" s="63" t="s">
        <v>276</v>
      </c>
      <c r="E11" s="64"/>
      <c r="F11" s="406">
        <v>1</v>
      </c>
      <c r="G11" s="65"/>
      <c r="H11" s="45"/>
      <c r="I11" s="63" t="s">
        <v>277</v>
      </c>
      <c r="J11" s="92"/>
      <c r="K11" s="408"/>
      <c r="L11" s="93"/>
    </row>
    <row r="12" spans="1:12" ht="18.600000000000001" customHeight="1">
      <c r="A12" s="53"/>
      <c r="B12" s="54" t="s">
        <v>42</v>
      </c>
      <c r="C12" s="52"/>
      <c r="D12" s="63" t="s">
        <v>278</v>
      </c>
      <c r="E12" s="64"/>
      <c r="F12" s="406">
        <v>1</v>
      </c>
      <c r="G12" s="65"/>
      <c r="H12" s="45"/>
      <c r="I12" s="63" t="s">
        <v>279</v>
      </c>
      <c r="J12" s="92"/>
      <c r="K12" s="408">
        <v>5</v>
      </c>
      <c r="L12" s="93"/>
    </row>
    <row r="13" spans="1:12" ht="18.600000000000001" customHeight="1">
      <c r="A13" s="53" t="s">
        <v>280</v>
      </c>
      <c r="B13" s="66">
        <v>22</v>
      </c>
      <c r="C13" s="52"/>
      <c r="D13" s="63" t="s">
        <v>281</v>
      </c>
      <c r="E13" s="64"/>
      <c r="F13" s="406">
        <v>1</v>
      </c>
      <c r="G13" s="65"/>
      <c r="H13" s="45"/>
      <c r="I13" s="63" t="s">
        <v>282</v>
      </c>
      <c r="J13" s="92"/>
      <c r="K13" s="408">
        <v>7</v>
      </c>
      <c r="L13" s="93"/>
    </row>
    <row r="14" spans="1:12" ht="18.600000000000001" customHeight="1">
      <c r="A14" s="53" t="s">
        <v>283</v>
      </c>
      <c r="B14" s="66">
        <v>14</v>
      </c>
      <c r="C14" s="52"/>
      <c r="D14" s="63" t="s">
        <v>284</v>
      </c>
      <c r="E14" s="64"/>
      <c r="F14" s="406">
        <v>2</v>
      </c>
      <c r="G14" s="65"/>
      <c r="H14" s="45"/>
      <c r="I14" s="63" t="s">
        <v>285</v>
      </c>
      <c r="J14" s="92"/>
      <c r="K14" s="408">
        <v>2</v>
      </c>
      <c r="L14" s="93"/>
    </row>
    <row r="15" spans="1:12" ht="18.600000000000001" customHeight="1">
      <c r="A15" s="67" t="s">
        <v>286</v>
      </c>
      <c r="B15" s="68">
        <f>B22+B31+B40+K26+F72</f>
        <v>429</v>
      </c>
      <c r="C15" s="52"/>
      <c r="D15" s="63" t="s">
        <v>287</v>
      </c>
      <c r="E15" s="64"/>
      <c r="F15" s="406">
        <v>1</v>
      </c>
      <c r="G15" s="65"/>
      <c r="H15" s="45"/>
      <c r="I15" s="63" t="s">
        <v>288</v>
      </c>
      <c r="J15" s="92"/>
      <c r="K15" s="408">
        <v>1</v>
      </c>
      <c r="L15" s="93"/>
    </row>
    <row r="16" spans="1:12" ht="28.5" customHeight="1">
      <c r="A16" s="69"/>
      <c r="B16" s="70"/>
      <c r="C16" s="52"/>
      <c r="D16" s="63" t="s">
        <v>289</v>
      </c>
      <c r="E16" s="64"/>
      <c r="F16" s="406">
        <v>0</v>
      </c>
      <c r="G16" s="65"/>
      <c r="H16" s="45"/>
      <c r="I16" s="63" t="s">
        <v>290</v>
      </c>
      <c r="J16" s="92"/>
      <c r="K16" s="408">
        <v>7</v>
      </c>
      <c r="L16" s="93"/>
    </row>
    <row r="17" spans="1:12" ht="18.95" customHeight="1">
      <c r="A17" s="629" t="s">
        <v>291</v>
      </c>
      <c r="B17" s="630"/>
      <c r="C17" s="52"/>
      <c r="D17" s="63" t="s">
        <v>292</v>
      </c>
      <c r="E17" s="64"/>
      <c r="F17" s="406">
        <v>1</v>
      </c>
      <c r="G17" s="65"/>
      <c r="H17" s="45"/>
      <c r="I17" s="63" t="s">
        <v>293</v>
      </c>
      <c r="J17" s="92"/>
      <c r="K17" s="408">
        <v>1</v>
      </c>
      <c r="L17" s="93"/>
    </row>
    <row r="18" spans="1:12" ht="29.1" customHeight="1">
      <c r="A18" s="71"/>
      <c r="B18" s="72" t="s">
        <v>42</v>
      </c>
      <c r="C18" s="52"/>
      <c r="D18" s="63" t="s">
        <v>294</v>
      </c>
      <c r="E18" s="64"/>
      <c r="F18" s="406">
        <v>3</v>
      </c>
      <c r="G18" s="65"/>
      <c r="H18" s="45"/>
      <c r="I18" s="63" t="s">
        <v>295</v>
      </c>
      <c r="J18" s="92"/>
      <c r="K18" s="408">
        <v>12</v>
      </c>
      <c r="L18" s="93"/>
    </row>
    <row r="19" spans="1:12" ht="31.5" customHeight="1">
      <c r="A19" s="67" t="s">
        <v>296</v>
      </c>
      <c r="B19" s="73">
        <f>SUM(B20:B23)</f>
        <v>97</v>
      </c>
      <c r="C19" s="52"/>
      <c r="D19" s="63" t="s">
        <v>297</v>
      </c>
      <c r="E19" s="64"/>
      <c r="F19" s="406">
        <v>1</v>
      </c>
      <c r="G19" s="65"/>
      <c r="H19" s="45"/>
      <c r="I19" s="63" t="s">
        <v>298</v>
      </c>
      <c r="J19" s="92"/>
      <c r="K19" s="408">
        <v>1</v>
      </c>
      <c r="L19" s="93"/>
    </row>
    <row r="20" spans="1:12" ht="18.600000000000001" customHeight="1">
      <c r="A20" s="53" t="s">
        <v>299</v>
      </c>
      <c r="B20" s="74">
        <v>97</v>
      </c>
      <c r="C20" s="52"/>
      <c r="D20" s="63" t="s">
        <v>300</v>
      </c>
      <c r="E20" s="64"/>
      <c r="F20" s="406">
        <v>1</v>
      </c>
      <c r="G20" s="65"/>
      <c r="H20" s="45"/>
      <c r="I20" s="63" t="s">
        <v>301</v>
      </c>
      <c r="J20" s="92"/>
      <c r="K20" s="408">
        <v>1</v>
      </c>
      <c r="L20" s="93"/>
    </row>
    <row r="21" spans="1:12" ht="18.600000000000001" customHeight="1">
      <c r="A21" s="75" t="s">
        <v>268</v>
      </c>
      <c r="B21" s="74">
        <v>0</v>
      </c>
      <c r="C21" s="52"/>
      <c r="D21" s="63" t="s">
        <v>302</v>
      </c>
      <c r="E21" s="64"/>
      <c r="F21" s="406">
        <v>1</v>
      </c>
      <c r="G21" s="65"/>
      <c r="H21" s="45"/>
      <c r="I21" s="63" t="s">
        <v>303</v>
      </c>
      <c r="J21" s="92"/>
      <c r="K21" s="408">
        <v>1</v>
      </c>
      <c r="L21" s="93"/>
    </row>
    <row r="22" spans="1:12" ht="18.600000000000001" customHeight="1">
      <c r="A22" s="75" t="s">
        <v>304</v>
      </c>
      <c r="B22" s="76">
        <v>0</v>
      </c>
      <c r="C22" s="46"/>
      <c r="D22" s="63" t="s">
        <v>305</v>
      </c>
      <c r="E22" s="64"/>
      <c r="F22" s="406">
        <v>3</v>
      </c>
      <c r="G22" s="65"/>
      <c r="H22" s="45"/>
      <c r="I22" s="88" t="s">
        <v>306</v>
      </c>
      <c r="J22" s="94"/>
      <c r="K22" s="409">
        <v>2</v>
      </c>
      <c r="L22" s="95"/>
    </row>
    <row r="23" spans="1:12" ht="18.600000000000001" customHeight="1">
      <c r="A23" s="67" t="s">
        <v>307</v>
      </c>
      <c r="B23" s="77">
        <v>0</v>
      </c>
      <c r="C23" s="46"/>
      <c r="D23" s="63" t="s">
        <v>308</v>
      </c>
      <c r="E23" s="64"/>
      <c r="F23" s="406">
        <v>2</v>
      </c>
      <c r="G23" s="65"/>
      <c r="H23" s="45"/>
      <c r="I23" s="87" t="s">
        <v>309</v>
      </c>
      <c r="J23" s="96"/>
      <c r="K23" s="59"/>
      <c r="L23" s="96"/>
    </row>
    <row r="24" spans="1:12" ht="18.600000000000001" customHeight="1">
      <c r="A24" s="69"/>
      <c r="B24" s="56"/>
      <c r="C24" s="46"/>
      <c r="D24" s="63" t="s">
        <v>310</v>
      </c>
      <c r="E24" s="64"/>
      <c r="F24" s="406">
        <v>6</v>
      </c>
      <c r="G24" s="65"/>
      <c r="H24" s="45"/>
      <c r="I24" s="96" t="s">
        <v>530</v>
      </c>
      <c r="J24" s="97"/>
      <c r="K24" s="59">
        <v>1</v>
      </c>
      <c r="L24" s="96"/>
    </row>
    <row r="25" spans="1:12" ht="18.600000000000001" customHeight="1">
      <c r="A25" s="69"/>
      <c r="B25" s="56"/>
      <c r="C25" s="46"/>
      <c r="D25" s="63" t="s">
        <v>311</v>
      </c>
      <c r="E25" s="64"/>
      <c r="F25" s="406">
        <v>9</v>
      </c>
      <c r="G25" s="65"/>
      <c r="H25" s="45"/>
      <c r="I25" s="96"/>
      <c r="J25" s="97"/>
      <c r="K25" s="59"/>
      <c r="L25" s="96"/>
    </row>
    <row r="26" spans="1:12" ht="18.600000000000001" customHeight="1">
      <c r="A26" s="61"/>
      <c r="B26" s="47"/>
      <c r="C26" s="46"/>
      <c r="D26" s="63" t="s">
        <v>312</v>
      </c>
      <c r="E26" s="64"/>
      <c r="F26" s="406">
        <v>26</v>
      </c>
      <c r="G26" s="65"/>
      <c r="H26" s="45"/>
      <c r="I26" s="79" t="s">
        <v>39</v>
      </c>
      <c r="J26" s="98">
        <f>SUM(J9:J25)</f>
        <v>0</v>
      </c>
      <c r="K26" s="98">
        <f>SUM(K9:K25)</f>
        <v>59</v>
      </c>
      <c r="L26" s="98">
        <f>SUM(L9:L25)</f>
        <v>0</v>
      </c>
    </row>
    <row r="27" spans="1:12">
      <c r="A27" s="627" t="s">
        <v>313</v>
      </c>
      <c r="B27" s="628"/>
      <c r="C27" s="46"/>
      <c r="D27" s="419" t="s">
        <v>314</v>
      </c>
      <c r="E27" s="420"/>
      <c r="F27" s="407">
        <v>1</v>
      </c>
      <c r="G27" s="420"/>
      <c r="H27" s="45"/>
      <c r="I27" s="45"/>
      <c r="J27" s="47"/>
      <c r="L27" s="78"/>
    </row>
    <row r="28" spans="1:12" ht="18.600000000000001" customHeight="1">
      <c r="A28" s="53"/>
      <c r="B28" s="54" t="s">
        <v>42</v>
      </c>
      <c r="C28" s="46"/>
      <c r="D28" s="63" t="s">
        <v>315</v>
      </c>
      <c r="E28" s="64"/>
      <c r="F28" s="406">
        <v>1</v>
      </c>
      <c r="G28" s="65"/>
      <c r="H28" s="45"/>
      <c r="I28" s="45"/>
      <c r="J28" s="47"/>
      <c r="L28" s="78"/>
    </row>
    <row r="29" spans="1:12">
      <c r="A29" s="67" t="s">
        <v>316</v>
      </c>
      <c r="B29" s="73">
        <f>SUM(B30:B32)</f>
        <v>46</v>
      </c>
      <c r="C29" s="46"/>
      <c r="D29" s="63" t="s">
        <v>317</v>
      </c>
      <c r="E29" s="64"/>
      <c r="F29" s="406">
        <v>1</v>
      </c>
      <c r="G29" s="65"/>
      <c r="H29" s="45"/>
      <c r="I29" s="45"/>
      <c r="J29" s="47"/>
      <c r="L29" s="78"/>
    </row>
    <row r="30" spans="1:12" ht="18.600000000000001" customHeight="1">
      <c r="A30" s="75" t="s">
        <v>268</v>
      </c>
      <c r="B30" s="74">
        <v>0</v>
      </c>
      <c r="D30" s="63" t="s">
        <v>318</v>
      </c>
      <c r="E30" s="64"/>
      <c r="F30" s="406">
        <v>1</v>
      </c>
      <c r="G30" s="65"/>
      <c r="H30" s="45"/>
      <c r="I30" s="45"/>
      <c r="J30" s="47"/>
      <c r="L30" s="78"/>
    </row>
    <row r="31" spans="1:12" ht="18.600000000000001" customHeight="1">
      <c r="A31" s="75" t="s">
        <v>304</v>
      </c>
      <c r="B31" s="76">
        <v>46</v>
      </c>
      <c r="D31" s="63" t="s">
        <v>319</v>
      </c>
      <c r="E31" s="79"/>
      <c r="F31" s="407">
        <v>0</v>
      </c>
      <c r="G31" s="80"/>
      <c r="H31" s="45"/>
      <c r="I31" s="45"/>
      <c r="J31" s="47"/>
      <c r="L31" s="78"/>
    </row>
    <row r="32" spans="1:12" ht="18.600000000000001" customHeight="1">
      <c r="A32" s="67" t="s">
        <v>307</v>
      </c>
      <c r="B32" s="77">
        <v>0</v>
      </c>
      <c r="D32" s="63" t="s">
        <v>320</v>
      </c>
      <c r="E32" s="79"/>
      <c r="F32" s="407">
        <v>8</v>
      </c>
      <c r="G32" s="80"/>
      <c r="H32" s="45"/>
      <c r="I32" s="45"/>
      <c r="J32" s="47"/>
      <c r="L32" s="78"/>
    </row>
    <row r="33" spans="1:12" ht="18.600000000000001" customHeight="1">
      <c r="A33" s="69"/>
      <c r="B33" s="56"/>
      <c r="C33" s="81"/>
      <c r="D33" s="63" t="s">
        <v>321</v>
      </c>
      <c r="E33" s="79"/>
      <c r="F33" s="407">
        <v>1</v>
      </c>
      <c r="G33" s="80"/>
      <c r="H33" s="45"/>
      <c r="I33" s="45"/>
      <c r="J33" s="47"/>
      <c r="L33" s="78"/>
    </row>
    <row r="34" spans="1:12" ht="18.600000000000001" customHeight="1">
      <c r="A34" s="69"/>
      <c r="B34" s="56"/>
      <c r="D34" s="63" t="s">
        <v>322</v>
      </c>
      <c r="E34" s="79"/>
      <c r="F34" s="407">
        <v>6</v>
      </c>
      <c r="G34" s="80"/>
      <c r="H34" s="45"/>
      <c r="I34" s="45"/>
      <c r="J34" s="47"/>
      <c r="L34" s="78"/>
    </row>
    <row r="35" spans="1:12" ht="18.600000000000001" customHeight="1">
      <c r="A35" s="82"/>
      <c r="D35" s="63" t="s">
        <v>323</v>
      </c>
      <c r="E35" s="79"/>
      <c r="F35" s="407">
        <v>1</v>
      </c>
      <c r="G35" s="80"/>
      <c r="H35" s="45"/>
      <c r="I35" s="45"/>
      <c r="L35" s="78"/>
    </row>
    <row r="36" spans="1:12" ht="18.600000000000001" customHeight="1">
      <c r="A36" s="627" t="s">
        <v>324</v>
      </c>
      <c r="B36" s="628"/>
      <c r="D36" s="63" t="s">
        <v>325</v>
      </c>
      <c r="E36" s="79"/>
      <c r="F36" s="407"/>
      <c r="G36" s="80"/>
      <c r="H36" s="45"/>
      <c r="I36" s="45"/>
      <c r="L36" s="78"/>
    </row>
    <row r="37" spans="1:12">
      <c r="A37" s="53"/>
      <c r="B37" s="54" t="s">
        <v>42</v>
      </c>
      <c r="D37" s="63" t="s">
        <v>326</v>
      </c>
      <c r="E37" s="79"/>
      <c r="F37" s="407">
        <v>1</v>
      </c>
      <c r="G37" s="80"/>
      <c r="H37" s="45"/>
      <c r="I37" s="45"/>
      <c r="L37" s="78"/>
    </row>
    <row r="38" spans="1:12">
      <c r="A38" s="57" t="s">
        <v>327</v>
      </c>
      <c r="B38" s="83">
        <f>SUM(B39:B41)</f>
        <v>186</v>
      </c>
      <c r="D38" s="63" t="s">
        <v>328</v>
      </c>
      <c r="E38" s="79"/>
      <c r="F38" s="407">
        <v>1</v>
      </c>
      <c r="G38" s="80"/>
      <c r="H38" s="45"/>
      <c r="I38" s="45"/>
      <c r="L38" s="78"/>
    </row>
    <row r="39" spans="1:12">
      <c r="A39" s="75" t="s">
        <v>268</v>
      </c>
      <c r="B39" s="74">
        <v>0</v>
      </c>
      <c r="D39" s="63" t="s">
        <v>329</v>
      </c>
      <c r="E39" s="79"/>
      <c r="F39" s="407">
        <v>2</v>
      </c>
      <c r="G39" s="80"/>
      <c r="H39" s="45"/>
      <c r="I39" s="45"/>
      <c r="L39" s="78"/>
    </row>
    <row r="40" spans="1:12">
      <c r="A40" s="75" t="s">
        <v>304</v>
      </c>
      <c r="B40" s="76">
        <v>186</v>
      </c>
      <c r="D40" s="63" t="s">
        <v>330</v>
      </c>
      <c r="E40" s="79"/>
      <c r="F40" s="407">
        <v>1</v>
      </c>
      <c r="G40" s="80"/>
      <c r="H40" s="45"/>
      <c r="I40" s="45"/>
      <c r="L40" s="78"/>
    </row>
    <row r="41" spans="1:12">
      <c r="A41" s="67" t="s">
        <v>307</v>
      </c>
      <c r="B41" s="77">
        <v>0</v>
      </c>
      <c r="D41" s="63" t="s">
        <v>331</v>
      </c>
      <c r="E41" s="79"/>
      <c r="F41" s="407">
        <v>1</v>
      </c>
      <c r="G41" s="80"/>
      <c r="H41" s="45"/>
      <c r="I41" s="45"/>
      <c r="L41" s="78"/>
    </row>
    <row r="42" spans="1:12">
      <c r="A42" s="69"/>
      <c r="B42" s="56"/>
      <c r="D42" s="63" t="s">
        <v>332</v>
      </c>
      <c r="E42" s="79"/>
      <c r="F42" s="407">
        <v>1</v>
      </c>
      <c r="G42" s="80"/>
      <c r="H42" s="45"/>
      <c r="I42" s="45"/>
      <c r="L42" s="78"/>
    </row>
    <row r="43" spans="1:12">
      <c r="A43" s="69"/>
      <c r="B43" s="56"/>
      <c r="D43" s="63" t="s">
        <v>333</v>
      </c>
      <c r="E43" s="79"/>
      <c r="F43" s="407">
        <v>1</v>
      </c>
      <c r="G43" s="80"/>
      <c r="H43" s="45"/>
      <c r="I43" s="45"/>
      <c r="L43" s="78"/>
    </row>
    <row r="44" spans="1:12">
      <c r="A44" s="61"/>
      <c r="D44" s="63" t="s">
        <v>334</v>
      </c>
      <c r="E44" s="79"/>
      <c r="F44" s="407">
        <v>1</v>
      </c>
      <c r="G44" s="80"/>
      <c r="H44" s="45"/>
      <c r="I44" s="45"/>
      <c r="L44" s="78"/>
    </row>
    <row r="45" spans="1:12" ht="30">
      <c r="A45" s="61"/>
      <c r="D45" s="63" t="s">
        <v>335</v>
      </c>
      <c r="E45" s="79"/>
      <c r="F45" s="407">
        <v>7</v>
      </c>
      <c r="G45" s="80"/>
      <c r="H45" s="45"/>
      <c r="I45" s="45"/>
      <c r="L45" s="78"/>
    </row>
    <row r="46" spans="1:12">
      <c r="A46" s="627" t="s">
        <v>336</v>
      </c>
      <c r="B46" s="628"/>
      <c r="D46" s="63" t="s">
        <v>337</v>
      </c>
      <c r="E46" s="79"/>
      <c r="F46" s="407">
        <v>1</v>
      </c>
      <c r="G46" s="80"/>
      <c r="H46" s="45"/>
      <c r="I46" s="45"/>
      <c r="L46" s="78"/>
    </row>
    <row r="47" spans="1:12">
      <c r="A47" s="53"/>
      <c r="B47" s="54" t="s">
        <v>42</v>
      </c>
      <c r="D47" s="63" t="s">
        <v>338</v>
      </c>
      <c r="E47" s="79"/>
      <c r="F47" s="407">
        <v>0</v>
      </c>
      <c r="G47" s="80"/>
      <c r="H47" s="45"/>
      <c r="I47" s="45"/>
      <c r="L47" s="78"/>
    </row>
    <row r="48" spans="1:12" ht="30">
      <c r="A48" s="57" t="s">
        <v>339</v>
      </c>
      <c r="B48" s="58">
        <v>0</v>
      </c>
      <c r="D48" s="63" t="s">
        <v>340</v>
      </c>
      <c r="E48" s="79"/>
      <c r="F48" s="407">
        <v>2</v>
      </c>
      <c r="G48" s="80"/>
      <c r="H48" s="45"/>
      <c r="I48" s="45"/>
      <c r="L48" s="78"/>
    </row>
    <row r="49" spans="1:12">
      <c r="A49" s="61"/>
      <c r="D49" s="63" t="s">
        <v>341</v>
      </c>
      <c r="E49" s="79"/>
      <c r="F49" s="407">
        <v>1</v>
      </c>
      <c r="G49" s="80"/>
      <c r="H49" s="45"/>
      <c r="I49" s="45"/>
      <c r="L49" s="78"/>
    </row>
    <row r="50" spans="1:12">
      <c r="A50" s="643" t="s">
        <v>342</v>
      </c>
      <c r="B50" s="644"/>
      <c r="D50" s="63" t="s">
        <v>343</v>
      </c>
      <c r="E50" s="79"/>
      <c r="F50" s="407">
        <v>2</v>
      </c>
      <c r="G50" s="80"/>
      <c r="H50" s="45"/>
      <c r="I50" s="45"/>
      <c r="L50" s="78"/>
    </row>
    <row r="51" spans="1:12">
      <c r="A51" s="413"/>
      <c r="B51" s="414" t="s">
        <v>42</v>
      </c>
      <c r="D51" s="63" t="s">
        <v>344</v>
      </c>
      <c r="E51" s="79"/>
      <c r="F51" s="407">
        <v>16</v>
      </c>
      <c r="G51" s="80"/>
      <c r="H51" s="45"/>
      <c r="I51" s="45"/>
      <c r="L51" s="78"/>
    </row>
    <row r="52" spans="1:12">
      <c r="A52" s="415" t="s">
        <v>520</v>
      </c>
      <c r="B52" s="416">
        <v>0</v>
      </c>
      <c r="D52" s="63" t="s">
        <v>345</v>
      </c>
      <c r="E52" s="79"/>
      <c r="F52" s="407">
        <v>1</v>
      </c>
      <c r="G52" s="80"/>
      <c r="H52" s="45"/>
      <c r="I52" s="45"/>
      <c r="L52" s="78"/>
    </row>
    <row r="53" spans="1:12">
      <c r="A53" s="84"/>
      <c r="B53" s="74">
        <v>0</v>
      </c>
      <c r="D53" s="63" t="s">
        <v>346</v>
      </c>
      <c r="E53" s="79"/>
      <c r="F53" s="407">
        <v>1</v>
      </c>
      <c r="G53" s="80"/>
      <c r="H53" s="45"/>
      <c r="I53" s="45"/>
      <c r="L53" s="78"/>
    </row>
    <row r="54" spans="1:12">
      <c r="A54" s="85"/>
      <c r="B54" s="74">
        <v>0</v>
      </c>
      <c r="D54" s="63" t="s">
        <v>347</v>
      </c>
      <c r="E54" s="79"/>
      <c r="F54" s="407">
        <v>0</v>
      </c>
      <c r="G54" s="80"/>
      <c r="H54" s="45"/>
      <c r="I54" s="45"/>
      <c r="L54" s="78"/>
    </row>
    <row r="55" spans="1:12">
      <c r="A55" s="53"/>
      <c r="B55" s="74">
        <v>0</v>
      </c>
      <c r="D55" s="63" t="s">
        <v>348</v>
      </c>
      <c r="E55" s="79"/>
      <c r="F55" s="407">
        <v>1</v>
      </c>
      <c r="G55" s="80"/>
      <c r="H55" s="45"/>
      <c r="I55" s="45"/>
      <c r="L55" s="78"/>
    </row>
    <row r="56" spans="1:12">
      <c r="A56" s="86"/>
      <c r="B56" s="77">
        <v>0</v>
      </c>
      <c r="D56" s="63" t="s">
        <v>349</v>
      </c>
      <c r="E56" s="79"/>
      <c r="F56" s="407">
        <v>2</v>
      </c>
      <c r="G56" s="80"/>
      <c r="H56" s="45"/>
      <c r="I56" s="45"/>
      <c r="L56" s="78"/>
    </row>
    <row r="57" spans="1:12">
      <c r="A57" s="61"/>
      <c r="B57" s="45"/>
      <c r="D57" s="63" t="s">
        <v>350</v>
      </c>
      <c r="E57" s="79"/>
      <c r="F57" s="407">
        <v>2</v>
      </c>
      <c r="G57" s="80"/>
      <c r="H57" s="45"/>
      <c r="I57" s="45"/>
      <c r="L57" s="78"/>
    </row>
    <row r="58" spans="1:12">
      <c r="A58" s="61"/>
      <c r="D58" s="63" t="s">
        <v>351</v>
      </c>
      <c r="E58" s="79"/>
      <c r="F58" s="407">
        <v>2</v>
      </c>
      <c r="G58" s="80"/>
      <c r="H58" s="45"/>
      <c r="I58" s="45"/>
      <c r="L58" s="78"/>
    </row>
    <row r="59" spans="1:12">
      <c r="A59" s="61"/>
      <c r="D59" s="63" t="s">
        <v>505</v>
      </c>
      <c r="E59" s="79"/>
      <c r="F59" s="407">
        <v>1</v>
      </c>
      <c r="G59" s="80"/>
      <c r="H59" s="45"/>
      <c r="I59" s="45"/>
      <c r="L59" s="78"/>
    </row>
    <row r="60" spans="1:12">
      <c r="A60" s="61"/>
      <c r="D60" s="63" t="s">
        <v>506</v>
      </c>
      <c r="E60" s="79"/>
      <c r="F60" s="407">
        <v>1</v>
      </c>
      <c r="G60" s="80"/>
      <c r="H60" s="45"/>
      <c r="I60" s="45"/>
      <c r="L60" s="78"/>
    </row>
    <row r="61" spans="1:12">
      <c r="A61" s="61"/>
      <c r="D61" s="87" t="s">
        <v>309</v>
      </c>
      <c r="E61" s="79"/>
      <c r="F61" s="407"/>
      <c r="G61" s="80"/>
      <c r="H61" s="45"/>
      <c r="I61" s="45"/>
      <c r="L61" s="78"/>
    </row>
    <row r="62" spans="1:12">
      <c r="A62" s="61"/>
      <c r="D62" s="63" t="s">
        <v>516</v>
      </c>
      <c r="E62" s="79"/>
      <c r="F62" s="407">
        <v>1</v>
      </c>
      <c r="G62" s="80"/>
      <c r="H62" s="45"/>
      <c r="I62" s="45"/>
      <c r="L62" s="78"/>
    </row>
    <row r="63" spans="1:12">
      <c r="A63" s="61"/>
      <c r="D63" s="63" t="s">
        <v>519</v>
      </c>
      <c r="E63" s="79"/>
      <c r="F63" s="79">
        <v>1</v>
      </c>
      <c r="G63" s="80"/>
      <c r="H63" s="45"/>
      <c r="I63" s="45"/>
      <c r="L63" s="78"/>
    </row>
    <row r="64" spans="1:12">
      <c r="A64" s="61"/>
      <c r="C64" s="45"/>
      <c r="D64" s="89" t="s">
        <v>524</v>
      </c>
      <c r="E64" s="79"/>
      <c r="F64" s="79">
        <v>1</v>
      </c>
      <c r="G64" s="80"/>
      <c r="H64" s="45"/>
      <c r="I64" s="45"/>
      <c r="L64" s="78"/>
    </row>
    <row r="65" spans="1:12">
      <c r="A65" s="61"/>
      <c r="C65" s="45"/>
      <c r="D65" s="63" t="s">
        <v>525</v>
      </c>
      <c r="E65" s="79"/>
      <c r="F65" s="79">
        <v>3</v>
      </c>
      <c r="G65" s="79"/>
      <c r="H65" s="45"/>
      <c r="I65" s="45"/>
      <c r="L65" s="78"/>
    </row>
    <row r="66" spans="1:12">
      <c r="A66" s="61"/>
      <c r="D66" s="63" t="s">
        <v>526</v>
      </c>
      <c r="E66" s="79"/>
      <c r="F66" s="79">
        <v>1</v>
      </c>
      <c r="G66" s="79"/>
      <c r="L66" s="78"/>
    </row>
    <row r="67" spans="1:12">
      <c r="A67" s="61"/>
      <c r="D67" s="63" t="s">
        <v>527</v>
      </c>
      <c r="E67" s="79"/>
      <c r="F67" s="79">
        <v>1</v>
      </c>
      <c r="G67" s="79"/>
      <c r="L67" s="78"/>
    </row>
    <row r="68" spans="1:12">
      <c r="A68" s="61"/>
      <c r="D68" s="88"/>
      <c r="E68" s="99"/>
      <c r="F68" s="99"/>
      <c r="G68" s="99"/>
      <c r="L68" s="78"/>
    </row>
    <row r="69" spans="1:12">
      <c r="A69" s="61"/>
      <c r="D69" s="100"/>
      <c r="E69" s="79"/>
      <c r="F69" s="79"/>
      <c r="G69" s="79"/>
      <c r="H69" s="45"/>
      <c r="I69" s="45"/>
      <c r="L69" s="78"/>
    </row>
    <row r="70" spans="1:12">
      <c r="A70" s="61"/>
      <c r="D70" s="100"/>
      <c r="E70" s="79"/>
      <c r="F70" s="79"/>
      <c r="G70" s="79"/>
      <c r="H70" s="45"/>
      <c r="I70" s="45"/>
      <c r="L70" s="78"/>
    </row>
    <row r="71" spans="1:12">
      <c r="A71" s="61"/>
      <c r="D71" s="97"/>
      <c r="E71" s="97"/>
      <c r="F71" s="96"/>
      <c r="G71" s="96"/>
      <c r="H71" s="45"/>
      <c r="I71" s="45"/>
      <c r="L71" s="78"/>
    </row>
    <row r="72" spans="1:12">
      <c r="A72" s="101"/>
      <c r="B72" s="102"/>
      <c r="C72" s="103"/>
      <c r="D72" s="104" t="s">
        <v>39</v>
      </c>
      <c r="E72" s="105">
        <f>SUM(E9:E71)</f>
        <v>0</v>
      </c>
      <c r="F72" s="105">
        <f>SUM(F9:F71)</f>
        <v>138</v>
      </c>
      <c r="G72" s="105">
        <f>SUM(G9:G71)</f>
        <v>0</v>
      </c>
      <c r="H72" s="106"/>
      <c r="I72" s="106"/>
      <c r="J72" s="106"/>
      <c r="K72" s="106"/>
      <c r="L72" s="107"/>
    </row>
    <row r="73" spans="1:12">
      <c r="F73" s="45"/>
      <c r="G73" s="45"/>
      <c r="H73" s="45"/>
      <c r="I73" s="45"/>
    </row>
    <row r="74" spans="1:12">
      <c r="F74" s="45"/>
      <c r="G74" s="45"/>
      <c r="H74" s="45"/>
      <c r="I74" s="45"/>
    </row>
    <row r="75" spans="1:12">
      <c r="F75" s="45"/>
      <c r="G75" s="45"/>
      <c r="H75" s="45"/>
      <c r="I75" s="45"/>
    </row>
    <row r="76" spans="1:12">
      <c r="F76" s="45"/>
      <c r="G76" s="45"/>
      <c r="H76" s="45"/>
      <c r="I76" s="45"/>
    </row>
    <row r="77" spans="1:12">
      <c r="F77" s="45"/>
      <c r="G77" s="45"/>
      <c r="H77" s="45"/>
      <c r="I77" s="45"/>
    </row>
    <row r="78" spans="1:12">
      <c r="F78" s="45"/>
      <c r="G78" s="45"/>
      <c r="H78" s="45"/>
      <c r="I78" s="45"/>
    </row>
    <row r="79" spans="1:12">
      <c r="F79" s="45"/>
      <c r="G79" s="45"/>
      <c r="H79" s="45"/>
      <c r="I79" s="45"/>
    </row>
    <row r="80" spans="1:12">
      <c r="F80" s="45"/>
      <c r="G80" s="45"/>
      <c r="H80" s="45"/>
      <c r="I80" s="45"/>
    </row>
    <row r="81" spans="6:9">
      <c r="F81" s="45"/>
      <c r="G81" s="45"/>
      <c r="H81" s="45"/>
      <c r="I81" s="45"/>
    </row>
    <row r="82" spans="6:9">
      <c r="F82" s="45"/>
      <c r="G82" s="45"/>
      <c r="H82" s="45"/>
      <c r="I82" s="45"/>
    </row>
  </sheetData>
  <sortState xmlns:xlrd2="http://schemas.microsoft.com/office/spreadsheetml/2017/richdata2" ref="A74:A133">
    <sortCondition ref="A74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showGridLines="0" view="pageLayout" zoomScale="70" zoomScaleNormal="100" zoomScaleSheetLayoutView="100" zoomScalePageLayoutView="70" workbookViewId="0">
      <selection activeCell="D8" sqref="D8"/>
    </sheetView>
  </sheetViews>
  <sheetFormatPr defaultColWidth="4.28515625" defaultRowHeight="12.75"/>
  <cols>
    <col min="1" max="1" width="56.42578125" style="31" customWidth="1"/>
    <col min="2" max="2" width="21.28515625" style="31" customWidth="1"/>
    <col min="3" max="3" width="7.42578125" style="32" customWidth="1"/>
    <col min="4" max="4" width="51.85546875" style="32" customWidth="1"/>
    <col min="5" max="5" width="18" style="32" customWidth="1"/>
    <col min="6" max="6" width="31" style="32" customWidth="1"/>
    <col min="7" max="7" width="17" style="32" customWidth="1"/>
    <col min="8" max="16384" width="4.28515625" style="32"/>
  </cols>
  <sheetData>
    <row r="1" spans="1:7" ht="18.600000000000001" customHeight="1">
      <c r="A1" s="648" t="s">
        <v>352</v>
      </c>
      <c r="B1" s="649"/>
      <c r="C1" s="649"/>
      <c r="D1" s="649"/>
      <c r="E1" s="649"/>
      <c r="F1" s="649"/>
      <c r="G1" s="650"/>
    </row>
    <row r="2" spans="1:7" ht="18.600000000000001" customHeight="1">
      <c r="A2" s="33"/>
      <c r="G2" s="34"/>
    </row>
    <row r="3" spans="1:7" ht="18.600000000000001" customHeight="1">
      <c r="A3" s="35" t="s">
        <v>6</v>
      </c>
      <c r="B3" s="36" t="str">
        <f>Capa!D5</f>
        <v>HOSPITAL REGIONAL TEREZINHA GAIO BASSO</v>
      </c>
      <c r="C3" s="37"/>
      <c r="D3" s="37"/>
      <c r="E3" s="38"/>
      <c r="F3" s="39"/>
      <c r="G3" s="34"/>
    </row>
    <row r="4" spans="1:7" ht="18.600000000000001" customHeight="1">
      <c r="A4" s="35" t="s">
        <v>7</v>
      </c>
      <c r="B4" s="40">
        <f>Assistencial!B4</f>
        <v>45778</v>
      </c>
      <c r="D4" s="31"/>
      <c r="E4" s="38"/>
      <c r="F4" s="38"/>
      <c r="G4" s="34"/>
    </row>
    <row r="5" spans="1:7" ht="18.600000000000001" customHeight="1">
      <c r="A5" s="33"/>
      <c r="D5" s="651" t="s">
        <v>353</v>
      </c>
      <c r="E5" s="651"/>
      <c r="F5" s="651"/>
      <c r="G5" s="41"/>
    </row>
    <row r="6" spans="1:7" ht="18.600000000000001" customHeight="1">
      <c r="A6" s="652" t="s">
        <v>354</v>
      </c>
      <c r="B6" s="653"/>
      <c r="D6" s="654" t="s">
        <v>355</v>
      </c>
      <c r="E6" s="655"/>
      <c r="F6" s="655"/>
      <c r="G6" s="656"/>
    </row>
    <row r="7" spans="1:7" ht="18.600000000000001" customHeight="1">
      <c r="A7" s="18"/>
      <c r="B7" s="20" t="s">
        <v>356</v>
      </c>
      <c r="D7" s="42" t="s">
        <v>357</v>
      </c>
      <c r="E7" s="22" t="s">
        <v>358</v>
      </c>
      <c r="F7" s="22" t="s">
        <v>359</v>
      </c>
      <c r="G7" s="23" t="s">
        <v>360</v>
      </c>
    </row>
    <row r="8" spans="1:7" ht="18.600000000000001" customHeight="1">
      <c r="A8" s="18" t="s">
        <v>361</v>
      </c>
      <c r="B8" s="24">
        <v>6629.58</v>
      </c>
      <c r="D8" s="421" t="s">
        <v>726</v>
      </c>
      <c r="E8" s="427" t="s">
        <v>57</v>
      </c>
      <c r="F8" s="427" t="s">
        <v>57</v>
      </c>
      <c r="G8" s="428" t="s">
        <v>57</v>
      </c>
    </row>
    <row r="9" spans="1:7" ht="18.600000000000001" customHeight="1">
      <c r="A9" s="25" t="s">
        <v>362</v>
      </c>
      <c r="B9" s="26">
        <v>626933.1</v>
      </c>
      <c r="D9" s="421" t="s">
        <v>727</v>
      </c>
      <c r="E9" s="427" t="s">
        <v>728</v>
      </c>
      <c r="F9" s="427" t="s">
        <v>729</v>
      </c>
      <c r="G9" s="428">
        <v>1870</v>
      </c>
    </row>
    <row r="10" spans="1:7" ht="15">
      <c r="A10" s="18"/>
      <c r="B10" s="8"/>
      <c r="D10" s="421" t="s">
        <v>730</v>
      </c>
      <c r="E10" s="427" t="s">
        <v>731</v>
      </c>
      <c r="F10" s="427" t="s">
        <v>732</v>
      </c>
      <c r="G10" s="428">
        <v>2560</v>
      </c>
    </row>
    <row r="11" spans="1:7" ht="30" customHeight="1">
      <c r="A11" s="657" t="s">
        <v>363</v>
      </c>
      <c r="B11" s="658"/>
      <c r="D11" s="421" t="s">
        <v>733</v>
      </c>
      <c r="E11" s="427" t="s">
        <v>734</v>
      </c>
      <c r="F11" s="427" t="s">
        <v>735</v>
      </c>
      <c r="G11" s="428">
        <v>10.5</v>
      </c>
    </row>
    <row r="12" spans="1:7" ht="35.25" customHeight="1">
      <c r="A12" s="18"/>
      <c r="B12" s="20" t="s">
        <v>364</v>
      </c>
      <c r="D12" s="421" t="s">
        <v>736</v>
      </c>
      <c r="E12" s="427" t="s">
        <v>737</v>
      </c>
      <c r="F12" s="427" t="s">
        <v>738</v>
      </c>
      <c r="G12" s="428">
        <v>1.66</v>
      </c>
    </row>
    <row r="13" spans="1:7" ht="29.25" customHeight="1">
      <c r="A13" s="18" t="s">
        <v>365</v>
      </c>
      <c r="B13" s="27">
        <v>5</v>
      </c>
      <c r="D13" s="421" t="s">
        <v>739</v>
      </c>
      <c r="E13" s="427" t="s">
        <v>734</v>
      </c>
      <c r="F13" s="427" t="s">
        <v>740</v>
      </c>
      <c r="G13" s="428">
        <v>3.95</v>
      </c>
    </row>
    <row r="14" spans="1:7" ht="38.25" customHeight="1">
      <c r="A14" s="25" t="s">
        <v>366</v>
      </c>
      <c r="B14" s="58">
        <v>285</v>
      </c>
      <c r="D14" s="421" t="s">
        <v>741</v>
      </c>
      <c r="E14" s="427" t="s">
        <v>742</v>
      </c>
      <c r="F14" s="427" t="s">
        <v>743</v>
      </c>
      <c r="G14" s="428">
        <v>64</v>
      </c>
    </row>
    <row r="15" spans="1:7" ht="33" customHeight="1">
      <c r="A15" s="7"/>
      <c r="B15" s="29"/>
      <c r="D15" s="421" t="s">
        <v>744</v>
      </c>
      <c r="E15" s="427" t="s">
        <v>745</v>
      </c>
      <c r="F15" s="427" t="s">
        <v>743</v>
      </c>
      <c r="G15" s="428">
        <v>14.4</v>
      </c>
    </row>
    <row r="16" spans="1:7" ht="33.75" customHeight="1">
      <c r="A16" s="659" t="s">
        <v>367</v>
      </c>
      <c r="B16" s="660"/>
      <c r="D16" s="421" t="s">
        <v>746</v>
      </c>
      <c r="E16" s="427" t="s">
        <v>747</v>
      </c>
      <c r="F16" s="427" t="s">
        <v>748</v>
      </c>
      <c r="G16" s="428">
        <v>5.85</v>
      </c>
    </row>
    <row r="17" spans="1:7" ht="27" customHeight="1">
      <c r="A17" s="661" t="s">
        <v>368</v>
      </c>
      <c r="B17" s="662"/>
      <c r="D17" s="421" t="s">
        <v>749</v>
      </c>
      <c r="E17" s="427" t="s">
        <v>734</v>
      </c>
      <c r="F17" s="427" t="s">
        <v>750</v>
      </c>
      <c r="G17" s="428">
        <v>6.95</v>
      </c>
    </row>
    <row r="18" spans="1:7" ht="27" customHeight="1">
      <c r="A18" s="18"/>
      <c r="B18" s="20" t="s">
        <v>369</v>
      </c>
      <c r="D18" s="421" t="s">
        <v>751</v>
      </c>
      <c r="E18" s="427" t="s">
        <v>752</v>
      </c>
      <c r="F18" s="427" t="s">
        <v>753</v>
      </c>
      <c r="G18" s="428">
        <v>149</v>
      </c>
    </row>
    <row r="19" spans="1:7" ht="27" customHeight="1">
      <c r="A19" s="18" t="s">
        <v>370</v>
      </c>
      <c r="B19" s="27">
        <v>91</v>
      </c>
      <c r="D19" s="421" t="s">
        <v>754</v>
      </c>
      <c r="E19" s="427" t="s">
        <v>755</v>
      </c>
      <c r="F19" s="427" t="s">
        <v>735</v>
      </c>
      <c r="G19" s="428">
        <v>76.59</v>
      </c>
    </row>
    <row r="20" spans="1:7" ht="15">
      <c r="A20" s="25" t="s">
        <v>371</v>
      </c>
      <c r="B20" s="28">
        <v>344113</v>
      </c>
      <c r="D20" s="421" t="s">
        <v>756</v>
      </c>
      <c r="E20" s="427" t="s">
        <v>757</v>
      </c>
      <c r="F20" s="427" t="s">
        <v>735</v>
      </c>
      <c r="G20" s="428">
        <v>70.59</v>
      </c>
    </row>
    <row r="21" spans="1:7" ht="18.600000000000001" customHeight="1">
      <c r="A21" s="7"/>
      <c r="B21" s="29"/>
      <c r="D21" s="421" t="s">
        <v>758</v>
      </c>
      <c r="E21" s="427" t="s">
        <v>759</v>
      </c>
      <c r="F21" s="427" t="s">
        <v>735</v>
      </c>
      <c r="G21" s="428">
        <v>70.2</v>
      </c>
    </row>
    <row r="22" spans="1:7" ht="18.600000000000001" customHeight="1">
      <c r="A22" s="7"/>
      <c r="B22" s="8"/>
      <c r="D22" s="421" t="s">
        <v>760</v>
      </c>
      <c r="E22" s="427" t="s">
        <v>761</v>
      </c>
      <c r="F22" s="427" t="s">
        <v>735</v>
      </c>
      <c r="G22" s="428">
        <v>64.17</v>
      </c>
    </row>
    <row r="23" spans="1:7" ht="18.600000000000001" customHeight="1">
      <c r="A23" s="18"/>
      <c r="B23" s="8"/>
      <c r="D23" s="421" t="s">
        <v>762</v>
      </c>
      <c r="E23" s="427" t="s">
        <v>57</v>
      </c>
      <c r="F23" s="427" t="s">
        <v>57</v>
      </c>
      <c r="G23" s="428" t="s">
        <v>57</v>
      </c>
    </row>
    <row r="24" spans="1:7" ht="28.5" customHeight="1">
      <c r="A24" s="663"/>
      <c r="B24" s="663"/>
      <c r="D24" s="421" t="s">
        <v>763</v>
      </c>
      <c r="E24" s="427" t="s">
        <v>57</v>
      </c>
      <c r="F24" s="427" t="s">
        <v>57</v>
      </c>
      <c r="G24" s="428" t="s">
        <v>57</v>
      </c>
    </row>
    <row r="25" spans="1:7" ht="18.600000000000001" customHeight="1">
      <c r="A25" s="7"/>
      <c r="B25" s="8"/>
      <c r="D25" s="421" t="s">
        <v>764</v>
      </c>
      <c r="E25" s="427" t="s">
        <v>765</v>
      </c>
      <c r="F25" s="427" t="s">
        <v>766</v>
      </c>
      <c r="G25" s="428">
        <v>0.5</v>
      </c>
    </row>
    <row r="26" spans="1:7" ht="33" customHeight="1">
      <c r="A26" s="7"/>
      <c r="B26" s="29"/>
      <c r="D26" s="421" t="s">
        <v>767</v>
      </c>
      <c r="E26" s="427" t="s">
        <v>768</v>
      </c>
      <c r="F26" s="427" t="s">
        <v>769</v>
      </c>
      <c r="G26" s="428">
        <v>12.19</v>
      </c>
    </row>
    <row r="27" spans="1:7" ht="27.75" customHeight="1">
      <c r="A27" s="7"/>
      <c r="B27" s="29"/>
      <c r="D27" s="421" t="s">
        <v>770</v>
      </c>
      <c r="E27" s="427" t="s">
        <v>771</v>
      </c>
      <c r="F27" s="427" t="s">
        <v>743</v>
      </c>
      <c r="G27" s="428">
        <v>17</v>
      </c>
    </row>
    <row r="28" spans="1:7" ht="28.5" customHeight="1">
      <c r="A28" s="7"/>
      <c r="B28" s="8"/>
      <c r="D28" s="421" t="s">
        <v>772</v>
      </c>
      <c r="E28" s="427" t="s">
        <v>773</v>
      </c>
      <c r="F28" s="427" t="s">
        <v>774</v>
      </c>
      <c r="G28" s="428">
        <v>2.95</v>
      </c>
    </row>
    <row r="29" spans="1:7" ht="32.25" customHeight="1">
      <c r="A29" s="7"/>
      <c r="B29" s="8"/>
      <c r="D29" s="421" t="s">
        <v>775</v>
      </c>
      <c r="E29" s="427" t="s">
        <v>776</v>
      </c>
      <c r="F29" s="427" t="s">
        <v>738</v>
      </c>
      <c r="G29" s="428">
        <v>40</v>
      </c>
    </row>
    <row r="30" spans="1:7" ht="16.5" customHeight="1">
      <c r="A30" s="664"/>
      <c r="B30" s="664"/>
      <c r="D30" s="421" t="s">
        <v>777</v>
      </c>
      <c r="E30" s="427" t="s">
        <v>778</v>
      </c>
      <c r="F30" s="427" t="s">
        <v>779</v>
      </c>
      <c r="G30" s="428">
        <v>91.25</v>
      </c>
    </row>
    <row r="31" spans="1:7" ht="30.75" customHeight="1">
      <c r="A31" s="7"/>
      <c r="B31" s="8"/>
      <c r="D31" s="421" t="s">
        <v>780</v>
      </c>
      <c r="E31" s="427" t="s">
        <v>781</v>
      </c>
      <c r="F31" s="427" t="s">
        <v>743</v>
      </c>
      <c r="G31" s="428">
        <v>58.9</v>
      </c>
    </row>
    <row r="32" spans="1:7" ht="26.25" customHeight="1">
      <c r="A32" s="7"/>
      <c r="B32" s="29"/>
      <c r="D32" s="421" t="s">
        <v>782</v>
      </c>
      <c r="E32" s="427" t="s">
        <v>783</v>
      </c>
      <c r="F32" s="427" t="s">
        <v>784</v>
      </c>
      <c r="G32" s="428">
        <v>4.95</v>
      </c>
    </row>
    <row r="33" spans="1:7" ht="29.25" customHeight="1">
      <c r="A33" s="7"/>
      <c r="B33" s="29"/>
      <c r="D33" s="421" t="s">
        <v>785</v>
      </c>
      <c r="E33" s="427" t="s">
        <v>786</v>
      </c>
      <c r="F33" s="427" t="s">
        <v>738</v>
      </c>
      <c r="G33" s="428">
        <v>34</v>
      </c>
    </row>
    <row r="34" spans="1:7" ht="28.5" customHeight="1">
      <c r="A34" s="7"/>
      <c r="B34" s="8"/>
      <c r="D34" s="421" t="s">
        <v>787</v>
      </c>
      <c r="E34" s="427" t="s">
        <v>786</v>
      </c>
      <c r="F34" s="427" t="s">
        <v>738</v>
      </c>
      <c r="G34" s="428">
        <v>107.5</v>
      </c>
    </row>
    <row r="35" spans="1:7" ht="36" customHeight="1">
      <c r="A35" s="7"/>
      <c r="B35" s="8"/>
      <c r="D35" s="421" t="s">
        <v>788</v>
      </c>
      <c r="E35" s="427" t="s">
        <v>789</v>
      </c>
      <c r="F35" s="427" t="s">
        <v>790</v>
      </c>
      <c r="G35" s="428">
        <v>510.95</v>
      </c>
    </row>
    <row r="36" spans="1:7" ht="17.100000000000001" customHeight="1">
      <c r="A36" s="664"/>
      <c r="B36" s="664"/>
      <c r="D36" s="421" t="s">
        <v>791</v>
      </c>
      <c r="E36" s="427" t="s">
        <v>786</v>
      </c>
      <c r="F36" s="427" t="s">
        <v>740</v>
      </c>
      <c r="G36" s="428">
        <v>14</v>
      </c>
    </row>
    <row r="37" spans="1:7" ht="15">
      <c r="A37" s="7"/>
      <c r="B37" s="8"/>
      <c r="D37" s="421" t="s">
        <v>792</v>
      </c>
      <c r="E37" s="427" t="s">
        <v>786</v>
      </c>
      <c r="F37" s="427" t="s">
        <v>793</v>
      </c>
      <c r="G37" s="428">
        <v>2.6</v>
      </c>
    </row>
    <row r="38" spans="1:7" ht="15">
      <c r="A38" s="7"/>
      <c r="B38" s="29"/>
      <c r="D38" s="421" t="s">
        <v>794</v>
      </c>
      <c r="E38" s="427" t="s">
        <v>57</v>
      </c>
      <c r="F38" s="427" t="s">
        <v>57</v>
      </c>
      <c r="G38" s="428" t="s">
        <v>57</v>
      </c>
    </row>
    <row r="39" spans="1:7" ht="15">
      <c r="A39" s="43"/>
      <c r="B39" s="43"/>
      <c r="C39" s="44"/>
      <c r="D39" s="421" t="s">
        <v>795</v>
      </c>
      <c r="E39" s="427" t="s">
        <v>796</v>
      </c>
      <c r="F39" s="427" t="s">
        <v>797</v>
      </c>
      <c r="G39" s="428">
        <v>63.89</v>
      </c>
    </row>
    <row r="40" spans="1:7" ht="15">
      <c r="D40" s="421" t="s">
        <v>798</v>
      </c>
      <c r="E40" s="427" t="s">
        <v>799</v>
      </c>
      <c r="F40" s="428" t="s">
        <v>774</v>
      </c>
      <c r="G40" s="428">
        <v>7.4</v>
      </c>
    </row>
    <row r="41" spans="1:7" ht="15">
      <c r="D41" s="421" t="s">
        <v>800</v>
      </c>
      <c r="E41" s="427" t="s">
        <v>734</v>
      </c>
      <c r="F41" s="428" t="s">
        <v>801</v>
      </c>
      <c r="G41" s="428">
        <v>69.900000000000006</v>
      </c>
    </row>
    <row r="42" spans="1:7" ht="15">
      <c r="D42" s="421" t="s">
        <v>802</v>
      </c>
      <c r="E42" s="427" t="s">
        <v>734</v>
      </c>
      <c r="F42" s="427" t="s">
        <v>803</v>
      </c>
      <c r="G42" s="428">
        <v>80.709999999999994</v>
      </c>
    </row>
    <row r="43" spans="1:7" ht="15">
      <c r="D43" s="421" t="s">
        <v>804</v>
      </c>
      <c r="E43" s="427" t="s">
        <v>786</v>
      </c>
      <c r="F43" s="427" t="s">
        <v>793</v>
      </c>
      <c r="G43" s="428">
        <v>16</v>
      </c>
    </row>
    <row r="44" spans="1:7" ht="15">
      <c r="D44" s="421" t="s">
        <v>805</v>
      </c>
      <c r="E44" s="427" t="s">
        <v>806</v>
      </c>
      <c r="F44" s="427" t="s">
        <v>743</v>
      </c>
      <c r="G44" s="428">
        <v>7.65</v>
      </c>
    </row>
    <row r="45" spans="1:7" ht="15">
      <c r="D45" s="421" t="s">
        <v>807</v>
      </c>
      <c r="E45" s="427" t="s">
        <v>808</v>
      </c>
      <c r="F45" s="427" t="s">
        <v>774</v>
      </c>
      <c r="G45" s="428">
        <v>9.1</v>
      </c>
    </row>
    <row r="46" spans="1:7" ht="15">
      <c r="D46" s="421" t="s">
        <v>809</v>
      </c>
      <c r="E46" s="427" t="s">
        <v>810</v>
      </c>
      <c r="F46" s="427" t="s">
        <v>743</v>
      </c>
      <c r="G46" s="428">
        <v>338</v>
      </c>
    </row>
    <row r="47" spans="1:7" ht="15">
      <c r="D47" s="429" t="s">
        <v>811</v>
      </c>
      <c r="E47" s="427" t="s">
        <v>734</v>
      </c>
      <c r="F47" s="427" t="s">
        <v>738</v>
      </c>
      <c r="G47" s="428">
        <v>6.8</v>
      </c>
    </row>
    <row r="48" spans="1:7" ht="15">
      <c r="D48" s="429" t="s">
        <v>812</v>
      </c>
      <c r="E48" s="430" t="s">
        <v>734</v>
      </c>
      <c r="F48" s="431" t="s">
        <v>735</v>
      </c>
      <c r="G48" s="428">
        <v>2.76</v>
      </c>
    </row>
    <row r="49" spans="4:7" ht="15">
      <c r="D49" s="429" t="s">
        <v>813</v>
      </c>
      <c r="E49" s="430" t="s">
        <v>734</v>
      </c>
      <c r="F49" s="427" t="s">
        <v>814</v>
      </c>
      <c r="G49" s="428">
        <v>3.5</v>
      </c>
    </row>
    <row r="50" spans="4:7" ht="15">
      <c r="D50" s="429" t="s">
        <v>815</v>
      </c>
      <c r="E50" s="430" t="s">
        <v>734</v>
      </c>
      <c r="F50" s="427" t="s">
        <v>735</v>
      </c>
      <c r="G50" s="428">
        <v>4.1900000000000004</v>
      </c>
    </row>
    <row r="51" spans="4:7" ht="15">
      <c r="D51" s="429" t="s">
        <v>816</v>
      </c>
      <c r="E51" s="430" t="s">
        <v>734</v>
      </c>
      <c r="F51" s="431" t="s">
        <v>735</v>
      </c>
      <c r="G51" s="432">
        <v>3.99</v>
      </c>
    </row>
    <row r="52" spans="4:7" ht="15">
      <c r="D52" s="429" t="s">
        <v>817</v>
      </c>
      <c r="E52" s="427" t="s">
        <v>734</v>
      </c>
      <c r="F52" s="427" t="s">
        <v>818</v>
      </c>
      <c r="G52" s="428">
        <v>4.97</v>
      </c>
    </row>
    <row r="53" spans="4:7" ht="15">
      <c r="D53" s="421" t="s">
        <v>819</v>
      </c>
      <c r="E53" s="427" t="s">
        <v>734</v>
      </c>
      <c r="F53" s="427" t="s">
        <v>793</v>
      </c>
      <c r="G53" s="428">
        <v>4.3899999999999997</v>
      </c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8"/>
  <sheetViews>
    <sheetView showGridLines="0" view="pageLayout" zoomScale="70" zoomScaleNormal="90" zoomScaleSheetLayoutView="90" zoomScalePageLayoutView="70" workbookViewId="0">
      <selection activeCell="B5" sqref="B5"/>
    </sheetView>
  </sheetViews>
  <sheetFormatPr defaultColWidth="0.85546875" defaultRowHeight="22.5" customHeight="1"/>
  <cols>
    <col min="1" max="1" width="57.140625" style="7" customWidth="1"/>
    <col min="2" max="2" width="27" style="8" customWidth="1"/>
    <col min="3" max="3" width="8" style="9" customWidth="1"/>
    <col min="4" max="4" width="76.140625" style="9" customWidth="1"/>
    <col min="5" max="5" width="33" style="9" customWidth="1"/>
    <col min="6" max="6" width="17.5703125" style="9" customWidth="1"/>
    <col min="7" max="8" width="15" style="9" customWidth="1"/>
    <col min="9" max="16384" width="0.85546875" style="9"/>
  </cols>
  <sheetData>
    <row r="1" spans="1:6" ht="22.5" customHeight="1">
      <c r="A1" s="665" t="s">
        <v>372</v>
      </c>
      <c r="B1" s="666"/>
      <c r="C1" s="666"/>
      <c r="D1" s="666"/>
      <c r="E1" s="666"/>
      <c r="F1" s="667"/>
    </row>
    <row r="2" spans="1:6" ht="22.5" customHeight="1">
      <c r="A2" s="10"/>
      <c r="B2" s="11"/>
      <c r="F2" s="12"/>
    </row>
    <row r="3" spans="1:6" ht="22.5" customHeight="1">
      <c r="A3" s="13" t="s">
        <v>6</v>
      </c>
      <c r="B3" s="668" t="str">
        <f>Assistencial!B3</f>
        <v>HOSPITAL REGIONAL TEREZINHA GAIO BASSO</v>
      </c>
      <c r="C3" s="668"/>
      <c r="D3" s="668"/>
      <c r="E3" s="14"/>
      <c r="F3" s="12"/>
    </row>
    <row r="4" spans="1:6" ht="22.5" customHeight="1">
      <c r="A4" s="13" t="s">
        <v>7</v>
      </c>
      <c r="B4" s="15">
        <v>45778</v>
      </c>
      <c r="C4" s="16"/>
      <c r="D4" s="17"/>
      <c r="E4" s="17"/>
      <c r="F4" s="12"/>
    </row>
    <row r="5" spans="1:6" ht="22.5" customHeight="1">
      <c r="A5" s="18"/>
      <c r="D5" s="19" t="s">
        <v>373</v>
      </c>
      <c r="F5" s="12"/>
    </row>
    <row r="6" spans="1:6" ht="22.5" customHeight="1">
      <c r="A6" s="652" t="s">
        <v>374</v>
      </c>
      <c r="B6" s="653"/>
      <c r="D6" s="654" t="s">
        <v>375</v>
      </c>
      <c r="E6" s="655"/>
      <c r="F6" s="656"/>
    </row>
    <row r="7" spans="1:6" ht="22.5" customHeight="1">
      <c r="A7" s="18"/>
      <c r="B7" s="20" t="s">
        <v>356</v>
      </c>
      <c r="D7" s="21" t="s">
        <v>376</v>
      </c>
      <c r="E7" s="22" t="s">
        <v>377</v>
      </c>
      <c r="F7" s="23" t="s">
        <v>360</v>
      </c>
    </row>
    <row r="8" spans="1:6" ht="27.75" customHeight="1">
      <c r="A8" s="18" t="s">
        <v>378</v>
      </c>
      <c r="B8" s="24">
        <v>0</v>
      </c>
      <c r="D8" s="421" t="s">
        <v>531</v>
      </c>
      <c r="E8" s="422" t="s">
        <v>532</v>
      </c>
      <c r="F8" s="423">
        <v>42.95</v>
      </c>
    </row>
    <row r="9" spans="1:6" ht="31.5" customHeight="1">
      <c r="A9" s="25" t="s">
        <v>379</v>
      </c>
      <c r="B9" s="26">
        <v>258600.04</v>
      </c>
      <c r="D9" s="421" t="s">
        <v>533</v>
      </c>
      <c r="E9" s="422" t="s">
        <v>532</v>
      </c>
      <c r="F9" s="423">
        <v>51.26</v>
      </c>
    </row>
    <row r="10" spans="1:6" ht="22.5" customHeight="1">
      <c r="A10" s="18"/>
      <c r="D10" s="421" t="s">
        <v>534</v>
      </c>
      <c r="E10" s="422" t="s">
        <v>532</v>
      </c>
      <c r="F10" s="423">
        <v>91.34</v>
      </c>
    </row>
    <row r="11" spans="1:6" ht="36" customHeight="1">
      <c r="A11" s="659" t="s">
        <v>380</v>
      </c>
      <c r="B11" s="660"/>
      <c r="D11" s="421" t="s">
        <v>535</v>
      </c>
      <c r="E11" s="422" t="s">
        <v>57</v>
      </c>
      <c r="F11" s="423" t="s">
        <v>57</v>
      </c>
    </row>
    <row r="12" spans="1:6" ht="42" customHeight="1">
      <c r="A12" s="661" t="s">
        <v>381</v>
      </c>
      <c r="B12" s="662"/>
      <c r="D12" s="421" t="s">
        <v>536</v>
      </c>
      <c r="E12" s="422" t="s">
        <v>511</v>
      </c>
      <c r="F12" s="423">
        <v>142.1</v>
      </c>
    </row>
    <row r="13" spans="1:6" ht="32.25" customHeight="1">
      <c r="A13" s="18"/>
      <c r="B13" s="20" t="s">
        <v>382</v>
      </c>
      <c r="D13" s="421" t="s">
        <v>537</v>
      </c>
      <c r="E13" s="422" t="s">
        <v>538</v>
      </c>
      <c r="F13" s="423">
        <v>8.9</v>
      </c>
    </row>
    <row r="14" spans="1:6" ht="61.5" customHeight="1">
      <c r="A14" s="18" t="s">
        <v>383</v>
      </c>
      <c r="B14" s="27">
        <v>12</v>
      </c>
      <c r="D14" s="421" t="s">
        <v>539</v>
      </c>
      <c r="E14" s="422" t="s">
        <v>540</v>
      </c>
      <c r="F14" s="423">
        <v>158.78</v>
      </c>
    </row>
    <row r="15" spans="1:6" ht="33.75" customHeight="1">
      <c r="A15" s="25" t="s">
        <v>384</v>
      </c>
      <c r="B15" s="28">
        <v>143195</v>
      </c>
      <c r="D15" s="421" t="s">
        <v>541</v>
      </c>
      <c r="E15" s="422" t="s">
        <v>542</v>
      </c>
      <c r="F15" s="423">
        <v>53.9</v>
      </c>
    </row>
    <row r="16" spans="1:6" ht="32.25" customHeight="1">
      <c r="A16" s="18"/>
      <c r="D16" s="421" t="s">
        <v>543</v>
      </c>
      <c r="E16" s="422" t="s">
        <v>544</v>
      </c>
      <c r="F16" s="423">
        <v>2.21</v>
      </c>
    </row>
    <row r="17" spans="1:6" ht="30" customHeight="1">
      <c r="A17" s="659" t="s">
        <v>385</v>
      </c>
      <c r="B17" s="660"/>
      <c r="D17" s="421" t="s">
        <v>545</v>
      </c>
      <c r="E17" s="422" t="s">
        <v>544</v>
      </c>
      <c r="F17" s="423">
        <v>2.21</v>
      </c>
    </row>
    <row r="18" spans="1:6" ht="28.5" customHeight="1">
      <c r="A18" s="661" t="s">
        <v>381</v>
      </c>
      <c r="B18" s="662"/>
      <c r="D18" s="421" t="s">
        <v>546</v>
      </c>
      <c r="E18" s="422" t="s">
        <v>532</v>
      </c>
      <c r="F18" s="423">
        <v>907.8</v>
      </c>
    </row>
    <row r="19" spans="1:6" ht="33" customHeight="1">
      <c r="A19" s="18"/>
      <c r="B19" s="20" t="s">
        <v>386</v>
      </c>
      <c r="D19" s="421" t="s">
        <v>547</v>
      </c>
      <c r="E19" s="422" t="s">
        <v>540</v>
      </c>
      <c r="F19" s="423">
        <v>42.35</v>
      </c>
    </row>
    <row r="20" spans="1:6" ht="36.75" customHeight="1">
      <c r="A20" s="18" t="s">
        <v>387</v>
      </c>
      <c r="B20" s="27">
        <v>0</v>
      </c>
      <c r="D20" s="421" t="s">
        <v>548</v>
      </c>
      <c r="E20" s="422" t="s">
        <v>57</v>
      </c>
      <c r="F20" s="423" t="s">
        <v>57</v>
      </c>
    </row>
    <row r="21" spans="1:6" ht="36" customHeight="1">
      <c r="A21" s="25" t="s">
        <v>388</v>
      </c>
      <c r="B21" s="28">
        <v>232</v>
      </c>
      <c r="D21" s="421" t="s">
        <v>549</v>
      </c>
      <c r="E21" s="422" t="s">
        <v>538</v>
      </c>
      <c r="F21" s="423">
        <v>0.28000000000000003</v>
      </c>
    </row>
    <row r="22" spans="1:6" ht="22.5" customHeight="1">
      <c r="D22" s="421" t="s">
        <v>550</v>
      </c>
      <c r="E22" s="422" t="s">
        <v>508</v>
      </c>
      <c r="F22" s="423">
        <v>22</v>
      </c>
    </row>
    <row r="23" spans="1:6" ht="22.5" customHeight="1">
      <c r="B23" s="29"/>
      <c r="D23" s="421" t="s">
        <v>551</v>
      </c>
      <c r="E23" s="422" t="s">
        <v>508</v>
      </c>
      <c r="F23" s="424">
        <v>22</v>
      </c>
    </row>
    <row r="24" spans="1:6" ht="22.5" customHeight="1">
      <c r="D24" s="421" t="s">
        <v>492</v>
      </c>
      <c r="E24" s="422" t="s">
        <v>508</v>
      </c>
      <c r="F24" s="423">
        <v>21</v>
      </c>
    </row>
    <row r="25" spans="1:6" ht="22.5" customHeight="1">
      <c r="A25" s="30"/>
      <c r="B25" s="11"/>
      <c r="D25" s="421" t="s">
        <v>493</v>
      </c>
      <c r="E25" s="422" t="s">
        <v>513</v>
      </c>
      <c r="F25" s="423">
        <v>0.8</v>
      </c>
    </row>
    <row r="26" spans="1:6" ht="22.5" customHeight="1">
      <c r="A26" s="18"/>
      <c r="D26" s="421" t="s">
        <v>494</v>
      </c>
      <c r="E26" s="422" t="s">
        <v>509</v>
      </c>
      <c r="F26" s="423">
        <v>11.09</v>
      </c>
    </row>
    <row r="27" spans="1:6" ht="22.5" customHeight="1">
      <c r="A27" s="18"/>
      <c r="D27" s="421" t="s">
        <v>495</v>
      </c>
      <c r="E27" s="422" t="s">
        <v>510</v>
      </c>
      <c r="F27" s="423">
        <v>12.08</v>
      </c>
    </row>
    <row r="28" spans="1:6" ht="22.5" customHeight="1">
      <c r="A28" s="18"/>
      <c r="D28" s="421" t="s">
        <v>496</v>
      </c>
      <c r="E28" s="422" t="s">
        <v>510</v>
      </c>
      <c r="F28" s="423">
        <v>40.729999999999997</v>
      </c>
    </row>
    <row r="29" spans="1:6" ht="29.25" customHeight="1">
      <c r="D29" s="421" t="s">
        <v>497</v>
      </c>
      <c r="E29" s="422" t="s">
        <v>511</v>
      </c>
      <c r="F29" s="423">
        <v>2.1</v>
      </c>
    </row>
    <row r="30" spans="1:6" ht="22.5" customHeight="1">
      <c r="D30" s="421" t="s">
        <v>498</v>
      </c>
      <c r="E30" s="422" t="s">
        <v>511</v>
      </c>
      <c r="F30" s="423">
        <v>0.95</v>
      </c>
    </row>
    <row r="31" spans="1:6" ht="22.5" customHeight="1">
      <c r="D31" s="421" t="s">
        <v>499</v>
      </c>
      <c r="E31" s="422" t="s">
        <v>509</v>
      </c>
      <c r="F31" s="423">
        <v>129</v>
      </c>
    </row>
    <row r="32" spans="1:6" ht="22.5" customHeight="1">
      <c r="D32" s="421" t="s">
        <v>500</v>
      </c>
      <c r="E32" s="422" t="s">
        <v>513</v>
      </c>
      <c r="F32" s="423">
        <v>16.989999999999998</v>
      </c>
    </row>
    <row r="33" spans="4:6" ht="22.5" customHeight="1">
      <c r="D33" s="421" t="s">
        <v>512</v>
      </c>
      <c r="E33" s="422" t="s">
        <v>513</v>
      </c>
      <c r="F33" s="423">
        <v>18.489999999999998</v>
      </c>
    </row>
    <row r="34" spans="4:6" ht="22.5" customHeight="1">
      <c r="D34" s="421" t="s">
        <v>514</v>
      </c>
      <c r="E34" s="422" t="s">
        <v>513</v>
      </c>
      <c r="F34" s="423">
        <v>19.5</v>
      </c>
    </row>
    <row r="35" spans="4:6" ht="25.5" customHeight="1">
      <c r="D35" s="421" t="s">
        <v>501</v>
      </c>
      <c r="E35" s="422" t="s">
        <v>552</v>
      </c>
      <c r="F35" s="423">
        <v>0.19</v>
      </c>
    </row>
    <row r="36" spans="4:6" ht="22.5" customHeight="1">
      <c r="D36" s="421" t="s">
        <v>502</v>
      </c>
      <c r="E36" s="422" t="s">
        <v>552</v>
      </c>
      <c r="F36" s="423">
        <v>0.28999999999999998</v>
      </c>
    </row>
    <row r="37" spans="4:6" ht="22.5" customHeight="1">
      <c r="D37" s="421" t="s">
        <v>503</v>
      </c>
      <c r="E37" s="422" t="s">
        <v>517</v>
      </c>
      <c r="F37" s="423">
        <v>9.9</v>
      </c>
    </row>
    <row r="38" spans="4:6" ht="48.75" customHeight="1">
      <c r="D38" s="421" t="s">
        <v>504</v>
      </c>
      <c r="E38" s="425" t="s">
        <v>515</v>
      </c>
      <c r="F38" s="426">
        <v>0.38</v>
      </c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27"/>
  <sheetViews>
    <sheetView showGridLines="0" topLeftCell="A104" zoomScaleNormal="100" zoomScaleSheetLayoutView="100" zoomScalePageLayoutView="80" workbookViewId="0">
      <selection activeCell="G126" sqref="G126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 thickBot="1">
      <c r="A1" s="669" t="s">
        <v>389</v>
      </c>
      <c r="B1" s="670"/>
    </row>
    <row r="2" spans="1:2" ht="21.75" customHeight="1">
      <c r="A2" s="671" t="s">
        <v>390</v>
      </c>
      <c r="B2" s="671"/>
    </row>
    <row r="3" spans="1:2" ht="21.75" customHeight="1">
      <c r="A3" s="672" t="str">
        <f>Assistencial!B3</f>
        <v>HOSPITAL REGIONAL TEREZINHA GAIO BASSO</v>
      </c>
      <c r="B3" s="673"/>
    </row>
    <row r="4" spans="1:2" ht="21.75" customHeight="1">
      <c r="A4" s="674" t="s">
        <v>7</v>
      </c>
      <c r="B4" s="674"/>
    </row>
    <row r="5" spans="1:2" ht="21.75" customHeight="1">
      <c r="A5" s="675">
        <f>Assistencial!B4</f>
        <v>45778</v>
      </c>
      <c r="B5" s="675"/>
    </row>
    <row r="6" spans="1:2" ht="21.75" customHeight="1">
      <c r="B6" s="2"/>
    </row>
    <row r="7" spans="1:2" ht="21.75" customHeight="1">
      <c r="A7" s="358" t="s">
        <v>391</v>
      </c>
      <c r="B7" s="359">
        <f>A5</f>
        <v>45778</v>
      </c>
    </row>
    <row r="8" spans="1:2" ht="21.75" customHeight="1">
      <c r="A8" s="360" t="s">
        <v>392</v>
      </c>
      <c r="B8" s="361" t="s">
        <v>393</v>
      </c>
    </row>
    <row r="9" spans="1:2" ht="21.75" customHeight="1">
      <c r="A9" s="362" t="s">
        <v>394</v>
      </c>
      <c r="B9" s="363">
        <v>5561423.96</v>
      </c>
    </row>
    <row r="10" spans="1:2" ht="21.75" customHeight="1">
      <c r="A10" s="362" t="s">
        <v>395</v>
      </c>
      <c r="B10" s="363">
        <v>0</v>
      </c>
    </row>
    <row r="11" spans="1:2" ht="21.75" customHeight="1">
      <c r="A11" s="362" t="s">
        <v>396</v>
      </c>
      <c r="B11" s="363">
        <v>0</v>
      </c>
    </row>
    <row r="12" spans="1:2" ht="21.75" customHeight="1">
      <c r="A12" s="362" t="s">
        <v>397</v>
      </c>
      <c r="B12" s="363">
        <v>0</v>
      </c>
    </row>
    <row r="13" spans="1:2" ht="21.75" customHeight="1">
      <c r="A13" s="362" t="s">
        <v>398</v>
      </c>
      <c r="B13" s="363">
        <v>0</v>
      </c>
    </row>
    <row r="14" spans="1:2" ht="21.75" customHeight="1">
      <c r="A14" s="364" t="s">
        <v>399</v>
      </c>
      <c r="B14" s="365">
        <f>B9+B10+B11-B12-B13</f>
        <v>5561423.96</v>
      </c>
    </row>
    <row r="15" spans="1:2" ht="21.75" customHeight="1">
      <c r="A15" s="366" t="s">
        <v>400</v>
      </c>
      <c r="B15" s="363">
        <v>200668.57</v>
      </c>
    </row>
    <row r="16" spans="1:2" ht="21.75" customHeight="1">
      <c r="A16" s="366" t="s">
        <v>401</v>
      </c>
      <c r="B16" s="363">
        <v>0</v>
      </c>
    </row>
    <row r="17" spans="1:2" ht="21.75" customHeight="1">
      <c r="A17" s="366" t="s">
        <v>402</v>
      </c>
      <c r="B17" s="363">
        <v>0</v>
      </c>
    </row>
    <row r="18" spans="1:2" ht="21.75" customHeight="1">
      <c r="A18" s="366" t="s">
        <v>403</v>
      </c>
      <c r="B18" s="363">
        <f>114232.88+36988.5+557.5+100499.27</f>
        <v>252278.15000000002</v>
      </c>
    </row>
    <row r="19" spans="1:2" ht="21.75" customHeight="1">
      <c r="A19" s="366" t="s">
        <v>404</v>
      </c>
      <c r="B19" s="363">
        <v>0</v>
      </c>
    </row>
    <row r="20" spans="1:2" ht="21.75" customHeight="1">
      <c r="A20" s="366" t="s">
        <v>405</v>
      </c>
      <c r="B20" s="363">
        <v>253.73</v>
      </c>
    </row>
    <row r="21" spans="1:2" ht="21.75" customHeight="1">
      <c r="A21" s="364" t="s">
        <v>406</v>
      </c>
      <c r="B21" s="365">
        <f>SUM(B15:B20)</f>
        <v>453200.45</v>
      </c>
    </row>
    <row r="22" spans="1:2" ht="21.75" customHeight="1">
      <c r="A22" s="367" t="s">
        <v>407</v>
      </c>
      <c r="B22" s="368">
        <f>B21+B14</f>
        <v>6014624.4100000001</v>
      </c>
    </row>
    <row r="23" spans="1:2" ht="21.75" customHeight="1">
      <c r="A23" s="369"/>
      <c r="B23" s="370"/>
    </row>
    <row r="24" spans="1:2" ht="21.75" customHeight="1">
      <c r="A24" s="358" t="str">
        <f>A7</f>
        <v>DESCRIÇÃO</v>
      </c>
      <c r="B24" s="359">
        <f>B7</f>
        <v>45778</v>
      </c>
    </row>
    <row r="25" spans="1:2" ht="21.75" customHeight="1">
      <c r="A25" s="360" t="s">
        <v>408</v>
      </c>
      <c r="B25" s="361" t="s">
        <v>393</v>
      </c>
    </row>
    <row r="26" spans="1:2" ht="21.75" customHeight="1">
      <c r="A26" s="364" t="s">
        <v>409</v>
      </c>
      <c r="B26" s="365">
        <f>SUM(B28:B37)</f>
        <v>2284490.87</v>
      </c>
    </row>
    <row r="27" spans="1:2" ht="21.75" customHeight="1">
      <c r="A27" s="364" t="s">
        <v>410</v>
      </c>
      <c r="B27" s="365">
        <f>SUM(B28:B29)</f>
        <v>1752011.32</v>
      </c>
    </row>
    <row r="28" spans="1:2" ht="21.75" customHeight="1">
      <c r="A28" s="366" t="s">
        <v>411</v>
      </c>
      <c r="B28" s="363">
        <f>1745114.3-11492.76+18389.78</f>
        <v>1752011.32</v>
      </c>
    </row>
    <row r="29" spans="1:2" ht="21.75" customHeight="1">
      <c r="A29" s="366" t="s">
        <v>412</v>
      </c>
      <c r="B29" s="363">
        <v>0</v>
      </c>
    </row>
    <row r="30" spans="1:2" ht="21.75" customHeight="1">
      <c r="A30" s="366" t="s">
        <v>413</v>
      </c>
      <c r="B30" s="363">
        <v>0</v>
      </c>
    </row>
    <row r="31" spans="1:2" ht="21.75" customHeight="1">
      <c r="A31" s="366" t="s">
        <v>414</v>
      </c>
      <c r="B31" s="363">
        <f>202666.92-12935.3</f>
        <v>189731.62000000002</v>
      </c>
    </row>
    <row r="32" spans="1:2" ht="21.75" customHeight="1">
      <c r="A32" s="366" t="s">
        <v>415</v>
      </c>
      <c r="B32" s="363">
        <v>0</v>
      </c>
    </row>
    <row r="33" spans="1:2" ht="21.75" customHeight="1">
      <c r="A33" s="366" t="s">
        <v>416</v>
      </c>
      <c r="B33" s="371">
        <v>0</v>
      </c>
    </row>
    <row r="34" spans="1:2" ht="21.75" customHeight="1">
      <c r="A34" s="366" t="s">
        <v>417</v>
      </c>
      <c r="B34" s="371">
        <f>213204.66-2535.63</f>
        <v>210669.03</v>
      </c>
    </row>
    <row r="35" spans="1:2" ht="21.75" customHeight="1">
      <c r="A35" s="366" t="s">
        <v>418</v>
      </c>
      <c r="B35" s="363">
        <f>134326.79-589.45</f>
        <v>133737.34</v>
      </c>
    </row>
    <row r="36" spans="1:2" ht="21.75" customHeight="1">
      <c r="A36" s="366" t="s">
        <v>419</v>
      </c>
      <c r="B36" s="363">
        <f>8169.69-9828.13</f>
        <v>-1658.4399999999996</v>
      </c>
    </row>
    <row r="37" spans="1:2" ht="21.75" customHeight="1">
      <c r="A37" s="366" t="s">
        <v>420</v>
      </c>
      <c r="B37" s="371">
        <v>0</v>
      </c>
    </row>
    <row r="38" spans="1:2" ht="21.75" customHeight="1">
      <c r="A38" s="364" t="s">
        <v>421</v>
      </c>
      <c r="B38" s="365">
        <f>SUM(B39:B43)</f>
        <v>996352.79999999993</v>
      </c>
    </row>
    <row r="39" spans="1:2" ht="21.75" customHeight="1">
      <c r="A39" s="366" t="s">
        <v>422</v>
      </c>
      <c r="B39" s="363">
        <f>247711.33-693.44+23964.89+78402.52-0.02+408.34</f>
        <v>349793.62</v>
      </c>
    </row>
    <row r="40" spans="1:2" ht="21.75" customHeight="1">
      <c r="A40" s="366" t="s">
        <v>423</v>
      </c>
      <c r="B40" s="363">
        <f>357764.01-4899.97+172923.68-B41</f>
        <v>493008.39999999997</v>
      </c>
    </row>
    <row r="41" spans="1:2" ht="21.75" customHeight="1">
      <c r="A41" s="366" t="s">
        <v>424</v>
      </c>
      <c r="B41" s="372">
        <v>32779.32</v>
      </c>
    </row>
    <row r="42" spans="1:2" ht="21.75" customHeight="1">
      <c r="A42" s="366" t="s">
        <v>425</v>
      </c>
      <c r="B42" s="363">
        <v>35884.980000000003</v>
      </c>
    </row>
    <row r="43" spans="1:2" ht="21.75" customHeight="1">
      <c r="A43" s="366" t="s">
        <v>426</v>
      </c>
      <c r="B43" s="363">
        <v>84886.48</v>
      </c>
    </row>
    <row r="44" spans="1:2" ht="21.75" customHeight="1">
      <c r="A44" s="364" t="s">
        <v>427</v>
      </c>
      <c r="B44" s="365">
        <f>SUM(B45:B52)</f>
        <v>382976.39000000007</v>
      </c>
    </row>
    <row r="45" spans="1:2" ht="21.75" customHeight="1">
      <c r="A45" s="366" t="s">
        <v>428</v>
      </c>
      <c r="B45" s="363">
        <f>45118.65+10296.71</f>
        <v>55415.360000000001</v>
      </c>
    </row>
    <row r="46" spans="1:2" ht="21.75" customHeight="1">
      <c r="A46" s="366" t="s">
        <v>429</v>
      </c>
      <c r="B46" s="363">
        <f>112854.06-6.16</f>
        <v>112847.9</v>
      </c>
    </row>
    <row r="47" spans="1:2" ht="21.75" customHeight="1">
      <c r="A47" s="366" t="s">
        <v>430</v>
      </c>
      <c r="B47" s="363">
        <f>29021.24-0.04</f>
        <v>29021.200000000001</v>
      </c>
    </row>
    <row r="48" spans="1:2" ht="21.75" customHeight="1">
      <c r="A48" s="366" t="s">
        <v>431</v>
      </c>
      <c r="B48" s="363">
        <v>33369.9</v>
      </c>
    </row>
    <row r="49" spans="1:2" ht="21.75" customHeight="1">
      <c r="A49" s="366" t="s">
        <v>432</v>
      </c>
      <c r="B49" s="363">
        <v>7910.72</v>
      </c>
    </row>
    <row r="50" spans="1:2" ht="21.75" customHeight="1">
      <c r="A50" s="366" t="s">
        <v>433</v>
      </c>
      <c r="B50" s="363">
        <v>67728.850000000006</v>
      </c>
    </row>
    <row r="51" spans="1:2" ht="21.75" customHeight="1">
      <c r="A51" s="366" t="s">
        <v>434</v>
      </c>
      <c r="B51" s="363">
        <f>76682.5-0.04</f>
        <v>76682.460000000006</v>
      </c>
    </row>
    <row r="52" spans="1:2" ht="21.75" customHeight="1">
      <c r="A52" s="366" t="s">
        <v>435</v>
      </c>
      <c r="B52" s="363">
        <v>0</v>
      </c>
    </row>
    <row r="53" spans="1:2" ht="21.75" customHeight="1">
      <c r="A53" s="364" t="s">
        <v>436</v>
      </c>
      <c r="B53" s="365">
        <f>SUM(B54:B56)</f>
        <v>10551.33</v>
      </c>
    </row>
    <row r="54" spans="1:2" ht="21.75" customHeight="1">
      <c r="A54" s="366" t="s">
        <v>437</v>
      </c>
      <c r="B54" s="363">
        <v>1227.67</v>
      </c>
    </row>
    <row r="55" spans="1:2" ht="21.75" customHeight="1">
      <c r="A55" s="366" t="s">
        <v>438</v>
      </c>
      <c r="B55" s="363">
        <v>9323.66</v>
      </c>
    </row>
    <row r="56" spans="1:2" ht="21.75" customHeight="1">
      <c r="A56" s="366" t="s">
        <v>439</v>
      </c>
      <c r="B56" s="363">
        <v>0</v>
      </c>
    </row>
    <row r="57" spans="1:2" ht="21.75" customHeight="1">
      <c r="A57" s="364" t="s">
        <v>440</v>
      </c>
      <c r="B57" s="365">
        <f>SUM(B58:B62)</f>
        <v>674059.79000000015</v>
      </c>
    </row>
    <row r="58" spans="1:2" ht="21.75" customHeight="1">
      <c r="A58" s="366" t="s">
        <v>441</v>
      </c>
      <c r="B58" s="363">
        <v>2345.64</v>
      </c>
    </row>
    <row r="59" spans="1:2" ht="21.75" customHeight="1">
      <c r="A59" s="366" t="s">
        <v>442</v>
      </c>
      <c r="B59" s="363">
        <v>6095.67</v>
      </c>
    </row>
    <row r="60" spans="1:2" ht="21.75" customHeight="1">
      <c r="A60" s="366" t="s">
        <v>443</v>
      </c>
      <c r="B60" s="363">
        <v>49241.279999999999</v>
      </c>
    </row>
    <row r="61" spans="1:2" ht="21.75" customHeight="1">
      <c r="A61" s="366" t="s">
        <v>444</v>
      </c>
      <c r="B61" s="363">
        <f>9753.1+6742.44</f>
        <v>16495.54</v>
      </c>
    </row>
    <row r="62" spans="1:2" ht="21.75" customHeight="1">
      <c r="A62" s="366" t="s">
        <v>445</v>
      </c>
      <c r="B62" s="363">
        <f>1239940.12-919603.58+48+673.2+1062.67+3500+1709.71+609.27+36988.5+128720.28-0.01+106233.5</f>
        <v>599881.66000000015</v>
      </c>
    </row>
    <row r="63" spans="1:2" ht="21.75" customHeight="1">
      <c r="A63" s="364" t="s">
        <v>446</v>
      </c>
      <c r="B63" s="365">
        <f>B64+B69+B73</f>
        <v>2295939.29</v>
      </c>
    </row>
    <row r="64" spans="1:2" ht="21.75" customHeight="1">
      <c r="A64" s="364" t="s">
        <v>447</v>
      </c>
      <c r="B64" s="365">
        <f>SUM(B65:B68)</f>
        <v>2004368.12</v>
      </c>
    </row>
    <row r="65" spans="1:2" ht="21.75" customHeight="1">
      <c r="A65" s="366" t="s">
        <v>448</v>
      </c>
      <c r="B65" s="363">
        <f>1751468.31+234201.04+18698.77</f>
        <v>2004368.12</v>
      </c>
    </row>
    <row r="66" spans="1:2" ht="21.75" customHeight="1">
      <c r="A66" s="366" t="s">
        <v>449</v>
      </c>
      <c r="B66" s="363">
        <v>0</v>
      </c>
    </row>
    <row r="67" spans="1:2" ht="21.75" customHeight="1">
      <c r="A67" s="366" t="s">
        <v>450</v>
      </c>
      <c r="B67" s="363">
        <v>0</v>
      </c>
    </row>
    <row r="68" spans="1:2" ht="21.75" customHeight="1">
      <c r="A68" s="366" t="s">
        <v>451</v>
      </c>
      <c r="B68" s="363">
        <v>0</v>
      </c>
    </row>
    <row r="69" spans="1:2" ht="21.75" customHeight="1">
      <c r="A69" s="364" t="s">
        <v>452</v>
      </c>
      <c r="B69" s="365">
        <f>SUM(B70:B72)</f>
        <v>220318.67</v>
      </c>
    </row>
    <row r="70" spans="1:2" ht="21.75" customHeight="1">
      <c r="A70" s="366" t="s">
        <v>453</v>
      </c>
      <c r="B70" s="363">
        <f>55045.2+25302.93+139970.54</f>
        <v>220318.67</v>
      </c>
    </row>
    <row r="71" spans="1:2" ht="21.75" customHeight="1">
      <c r="A71" s="366" t="s">
        <v>454</v>
      </c>
      <c r="B71" s="363">
        <v>0</v>
      </c>
    </row>
    <row r="72" spans="1:2" ht="21.75" customHeight="1">
      <c r="A72" s="366" t="s">
        <v>455</v>
      </c>
      <c r="B72" s="363">
        <v>0</v>
      </c>
    </row>
    <row r="73" spans="1:2" ht="21.75" customHeight="1">
      <c r="A73" s="364" t="s">
        <v>456</v>
      </c>
      <c r="B73" s="365">
        <f>SUM(B74:B75)</f>
        <v>71252.5</v>
      </c>
    </row>
    <row r="74" spans="1:2" ht="21.75" customHeight="1">
      <c r="A74" s="366" t="s">
        <v>457</v>
      </c>
      <c r="B74" s="363">
        <v>71252.5</v>
      </c>
    </row>
    <row r="75" spans="1:2" ht="21.75" customHeight="1">
      <c r="A75" s="366" t="s">
        <v>458</v>
      </c>
      <c r="B75" s="363">
        <v>0</v>
      </c>
    </row>
    <row r="76" spans="1:2" ht="21.75" customHeight="1">
      <c r="A76" s="367" t="s">
        <v>459</v>
      </c>
      <c r="B76" s="368">
        <f>B26+B38+B44+B53+B57+B63</f>
        <v>6644370.4700000007</v>
      </c>
    </row>
    <row r="77" spans="1:2" ht="21.75" customHeight="1">
      <c r="A77" s="360" t="s">
        <v>460</v>
      </c>
      <c r="B77" s="373">
        <f>B22-B76</f>
        <v>-629746.06000000052</v>
      </c>
    </row>
    <row r="78" spans="1:2" s="375" customFormat="1" ht="21.75" customHeight="1">
      <c r="A78" s="394"/>
      <c r="B78" s="374"/>
    </row>
    <row r="79" spans="1:2" ht="21.75" customHeight="1">
      <c r="A79" s="376" t="s">
        <v>461</v>
      </c>
      <c r="B79" s="397">
        <f>SUM(B80:B83)</f>
        <v>58522.720000000001</v>
      </c>
    </row>
    <row r="80" spans="1:2" ht="21.75" customHeight="1">
      <c r="A80" s="395" t="s">
        <v>462</v>
      </c>
      <c r="B80" s="396">
        <v>56347.72</v>
      </c>
    </row>
    <row r="81" spans="1:2" ht="21.75" customHeight="1">
      <c r="A81" s="377" t="s">
        <v>463</v>
      </c>
      <c r="B81" s="363">
        <v>2175</v>
      </c>
    </row>
    <row r="82" spans="1:2" ht="21.75" customHeight="1">
      <c r="A82" s="377" t="s">
        <v>464</v>
      </c>
      <c r="B82" s="363">
        <v>0</v>
      </c>
    </row>
    <row r="83" spans="1:2" ht="21.75" customHeight="1">
      <c r="A83" s="377" t="s">
        <v>465</v>
      </c>
      <c r="B83" s="363">
        <v>0</v>
      </c>
    </row>
    <row r="84" spans="1:2" ht="21.75" customHeight="1">
      <c r="A84" s="379"/>
      <c r="B84" s="3"/>
    </row>
    <row r="85" spans="1:2" ht="21.75" customHeight="1">
      <c r="A85" s="380"/>
      <c r="B85" s="4"/>
    </row>
    <row r="86" spans="1:2" ht="21.75" customHeight="1">
      <c r="A86" s="381" t="s">
        <v>466</v>
      </c>
      <c r="B86" s="382"/>
    </row>
    <row r="87" spans="1:2" ht="21.75" customHeight="1">
      <c r="A87" s="383" t="s">
        <v>391</v>
      </c>
      <c r="B87" s="5">
        <f>A5</f>
        <v>45778</v>
      </c>
    </row>
    <row r="88" spans="1:2" ht="21.75" customHeight="1">
      <c r="A88" s="384" t="s">
        <v>467</v>
      </c>
      <c r="B88" s="385"/>
    </row>
    <row r="89" spans="1:2" ht="21.75" customHeight="1">
      <c r="A89" s="377" t="s">
        <v>468</v>
      </c>
      <c r="B89" s="363">
        <v>0</v>
      </c>
    </row>
    <row r="90" spans="1:2" ht="21.75" customHeight="1">
      <c r="A90" s="377" t="s">
        <v>469</v>
      </c>
      <c r="B90" s="363">
        <v>0</v>
      </c>
    </row>
    <row r="91" spans="1:2" ht="21.75" customHeight="1">
      <c r="A91" s="398" t="s">
        <v>470</v>
      </c>
      <c r="B91" s="373">
        <f>B88-B89+B90</f>
        <v>0</v>
      </c>
    </row>
    <row r="92" spans="1:2" ht="21.75" customHeight="1">
      <c r="A92" s="377"/>
      <c r="B92" s="388"/>
    </row>
    <row r="93" spans="1:2" ht="21.75" customHeight="1">
      <c r="A93" s="378" t="s">
        <v>471</v>
      </c>
      <c r="B93" s="382"/>
    </row>
    <row r="94" spans="1:2" ht="21.75" customHeight="1">
      <c r="A94" s="383" t="s">
        <v>391</v>
      </c>
      <c r="B94" s="5">
        <f>B7</f>
        <v>45778</v>
      </c>
    </row>
    <row r="95" spans="1:2" ht="21.75" customHeight="1">
      <c r="A95" s="384" t="s">
        <v>467</v>
      </c>
      <c r="B95" s="389">
        <v>0</v>
      </c>
    </row>
    <row r="96" spans="1:2" ht="21.75" customHeight="1">
      <c r="A96" s="377" t="s">
        <v>468</v>
      </c>
      <c r="B96" s="363">
        <v>11379046.5</v>
      </c>
    </row>
    <row r="97" spans="1:2" ht="21.75" customHeight="1">
      <c r="A97" s="377" t="s">
        <v>469</v>
      </c>
      <c r="B97" s="363">
        <v>11379046.5</v>
      </c>
    </row>
    <row r="98" spans="1:2" ht="21.75" customHeight="1">
      <c r="A98" s="377" t="s">
        <v>472</v>
      </c>
      <c r="B98" s="363">
        <v>0</v>
      </c>
    </row>
    <row r="99" spans="1:2" ht="21.75" customHeight="1">
      <c r="A99" s="377" t="s">
        <v>473</v>
      </c>
      <c r="B99" s="363">
        <v>0</v>
      </c>
    </row>
    <row r="100" spans="1:2" ht="21.75" customHeight="1">
      <c r="A100" s="390" t="s">
        <v>474</v>
      </c>
      <c r="B100" s="373">
        <f>B95-B96+B97-B98+B99</f>
        <v>0</v>
      </c>
    </row>
    <row r="101" spans="1:2" s="375" customFormat="1" ht="21.75" customHeight="1">
      <c r="A101" s="399"/>
      <c r="B101" s="391"/>
    </row>
    <row r="102" spans="1:2" ht="21.75" customHeight="1">
      <c r="A102" s="381" t="s">
        <v>475</v>
      </c>
      <c r="B102" s="382"/>
    </row>
    <row r="103" spans="1:2" ht="21.75" customHeight="1">
      <c r="A103" s="383" t="s">
        <v>391</v>
      </c>
      <c r="B103" s="5">
        <f>A5</f>
        <v>45778</v>
      </c>
    </row>
    <row r="104" spans="1:2" ht="21.75" customHeight="1">
      <c r="A104" s="384" t="s">
        <v>467</v>
      </c>
      <c r="B104" s="389">
        <v>23198321.460000001</v>
      </c>
    </row>
    <row r="105" spans="1:2" ht="21.75" customHeight="1">
      <c r="A105" s="377" t="s">
        <v>468</v>
      </c>
      <c r="B105" s="363">
        <f>5689009.62</f>
        <v>5689009.6200000001</v>
      </c>
    </row>
    <row r="106" spans="1:2" ht="21.75" customHeight="1">
      <c r="A106" s="377" t="s">
        <v>469</v>
      </c>
      <c r="B106" s="363">
        <f>5897426.74+1336.62-B107</f>
        <v>5698094.79</v>
      </c>
    </row>
    <row r="107" spans="1:2" ht="21.75" customHeight="1">
      <c r="A107" s="377" t="s">
        <v>476</v>
      </c>
      <c r="B107" s="363">
        <v>200668.57</v>
      </c>
    </row>
    <row r="108" spans="1:2" ht="21.75" customHeight="1">
      <c r="A108" s="390" t="s">
        <v>477</v>
      </c>
      <c r="B108" s="373">
        <f>B104-B105+B106+B107</f>
        <v>23408075.199999999</v>
      </c>
    </row>
    <row r="109" spans="1:2" ht="21.75" customHeight="1">
      <c r="A109" s="387"/>
      <c r="B109" s="388"/>
    </row>
    <row r="110" spans="1:2" ht="21.75" customHeight="1">
      <c r="A110" s="386" t="s">
        <v>478</v>
      </c>
      <c r="B110" s="392">
        <f>B108+B100+B91</f>
        <v>23408075.199999999</v>
      </c>
    </row>
    <row r="111" spans="1:2" ht="21.75" customHeight="1">
      <c r="A111" s="387"/>
      <c r="B111" s="388"/>
    </row>
    <row r="112" spans="1:2" ht="21.75" customHeight="1">
      <c r="A112" s="381" t="s">
        <v>479</v>
      </c>
      <c r="B112" s="382"/>
    </row>
    <row r="113" spans="1:2" ht="21.75" customHeight="1">
      <c r="A113" s="383" t="s">
        <v>391</v>
      </c>
      <c r="B113" s="5">
        <f>B7</f>
        <v>45778</v>
      </c>
    </row>
    <row r="114" spans="1:2" ht="21.75" customHeight="1">
      <c r="A114" s="393" t="s">
        <v>480</v>
      </c>
      <c r="B114" s="363">
        <v>0</v>
      </c>
    </row>
    <row r="115" spans="1:2" ht="21.75" customHeight="1">
      <c r="A115" s="393" t="s">
        <v>481</v>
      </c>
      <c r="B115" s="363">
        <v>0</v>
      </c>
    </row>
    <row r="116" spans="1:2" ht="21.75" customHeight="1">
      <c r="A116" s="393" t="s">
        <v>482</v>
      </c>
      <c r="B116" s="372">
        <f>3274481.61+1582131.7+804719.27+241009.09+1062.67</f>
        <v>5903404.3399999999</v>
      </c>
    </row>
    <row r="117" spans="1:2" ht="32.25" customHeight="1">
      <c r="A117" s="393" t="s">
        <v>483</v>
      </c>
      <c r="B117" s="363">
        <v>0</v>
      </c>
    </row>
    <row r="118" spans="1:2" ht="21.75" customHeight="1">
      <c r="A118" s="386" t="s">
        <v>39</v>
      </c>
      <c r="B118" s="373">
        <f>SUM(B114:B117)</f>
        <v>5903404.3399999999</v>
      </c>
    </row>
    <row r="119" spans="1:2" ht="21.75" customHeight="1">
      <c r="A119" s="387"/>
      <c r="B119" s="388"/>
    </row>
    <row r="120" spans="1:2" ht="21.75" customHeight="1">
      <c r="A120" s="381" t="s">
        <v>484</v>
      </c>
      <c r="B120" s="382"/>
    </row>
    <row r="121" spans="1:2" ht="21.75" customHeight="1">
      <c r="A121" s="383" t="s">
        <v>391</v>
      </c>
      <c r="B121" s="6">
        <f>B7</f>
        <v>45778</v>
      </c>
    </row>
    <row r="122" spans="1:2" ht="21.75" customHeight="1">
      <c r="A122" s="384" t="s">
        <v>467</v>
      </c>
      <c r="B122" s="389">
        <v>10148184.59</v>
      </c>
    </row>
    <row r="123" spans="1:2" ht="21.75" customHeight="1">
      <c r="A123" s="384" t="s">
        <v>485</v>
      </c>
      <c r="B123" s="389">
        <f>SUM(B34:B36)</f>
        <v>342747.93</v>
      </c>
    </row>
    <row r="124" spans="1:2" ht="21.75" customHeight="1">
      <c r="A124" s="377" t="s">
        <v>486</v>
      </c>
      <c r="B124" s="363">
        <f>-146447.18+210669.03</f>
        <v>64221.850000000006</v>
      </c>
    </row>
    <row r="125" spans="1:2" ht="21.75" customHeight="1">
      <c r="A125" s="377" t="s">
        <v>487</v>
      </c>
      <c r="B125" s="363">
        <f>-12954.51+133737.34</f>
        <v>120782.83</v>
      </c>
    </row>
    <row r="126" spans="1:2" ht="21.75" customHeight="1">
      <c r="A126" s="377" t="s">
        <v>488</v>
      </c>
      <c r="B126" s="363">
        <f>-25660.11+69478.21</f>
        <v>43818.100000000006</v>
      </c>
    </row>
    <row r="127" spans="1:2" ht="21.75" customHeight="1">
      <c r="A127" s="386" t="s">
        <v>489</v>
      </c>
      <c r="B127" s="373">
        <f>B122+B123-B124-B125-B126</f>
        <v>10262109.74</v>
      </c>
    </row>
  </sheetData>
  <mergeCells count="5">
    <mergeCell ref="A1:B1"/>
    <mergeCell ref="A2:B2"/>
    <mergeCell ref="A3:B3"/>
    <mergeCell ref="A4:B4"/>
    <mergeCell ref="A5:B5"/>
  </mergeCells>
  <conditionalFormatting sqref="B77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paperSize="9" scale="90" fitToHeight="0" orientation="portrait" r:id="rId1"/>
  <rowBreaks count="2" manualBreakCount="2">
    <brk id="78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2025-06-18T17:20:27Z</cp:lastPrinted>
  <dcterms:created xsi:type="dcterms:W3CDTF">2011-05-06T11:59:00Z</dcterms:created>
  <dcterms:modified xsi:type="dcterms:W3CDTF">2025-08-27T18:22:33Z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