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8. METAS HRTGB\ESTATÍSTICA DO ESTADO\Estatísticas do Estado 2025\"/>
    </mc:Choice>
  </mc:AlternateContent>
  <xr:revisionPtr revIDLastSave="0" documentId="13_ncr:1_{13BF684D-4049-4E64-BFDB-E4A05D179189}" xr6:coauthVersionLast="47" xr6:coauthVersionMax="47" xr10:uidLastSave="{00000000-0000-0000-0000-000000000000}"/>
  <bookViews>
    <workbookView xWindow="-120" yWindow="-120" windowWidth="29040" windowHeight="15840" tabRatio="942" activeTab="6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Cirúrgica'!$A$1:$D$208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C201" i="17" l="1"/>
  <c r="C158" i="17"/>
  <c r="G19" i="16"/>
  <c r="H19" i="16"/>
  <c r="C9" i="21"/>
  <c r="D48" i="21"/>
  <c r="C8" i="21"/>
  <c r="C10" i="21"/>
  <c r="C12" i="21"/>
  <c r="C36" i="18"/>
  <c r="B23" i="18"/>
  <c r="D23" i="18"/>
  <c r="D10" i="21"/>
  <c r="B118" i="5"/>
  <c r="B20" i="5"/>
  <c r="B30" i="5"/>
  <c r="B8" i="15" l="1"/>
  <c r="D12" i="18" l="1"/>
  <c r="D27" i="18"/>
  <c r="D25" i="18"/>
  <c r="D24" i="18"/>
  <c r="D22" i="18"/>
  <c r="B22" i="18"/>
  <c r="D21" i="18"/>
  <c r="D15" i="18"/>
  <c r="D11" i="18"/>
  <c r="D10" i="18"/>
  <c r="I12" i="20"/>
  <c r="I9" i="20"/>
  <c r="H12" i="20"/>
  <c r="H9" i="20"/>
  <c r="B11" i="20"/>
  <c r="B10" i="20"/>
  <c r="B9" i="20"/>
  <c r="B8" i="20"/>
  <c r="B13" i="20"/>
  <c r="B12" i="20"/>
  <c r="F9" i="19"/>
  <c r="B83" i="5" l="1"/>
  <c r="B128" i="5"/>
  <c r="B127" i="5"/>
  <c r="B126" i="5"/>
  <c r="B108" i="5"/>
  <c r="B64" i="5"/>
  <c r="B67" i="5"/>
  <c r="B72" i="5"/>
  <c r="B63" i="5"/>
  <c r="B48" i="5"/>
  <c r="B47" i="5"/>
  <c r="B41" i="5"/>
  <c r="B42" i="5"/>
  <c r="B38" i="5"/>
  <c r="B37" i="5"/>
  <c r="B36" i="5"/>
  <c r="B33" i="5"/>
  <c r="B16" i="5"/>
  <c r="F32" i="8" l="1"/>
  <c r="A7" i="5"/>
  <c r="B4" i="14"/>
  <c r="B4" i="7"/>
  <c r="B4" i="15"/>
  <c r="B4" i="16"/>
  <c r="B4" i="8"/>
  <c r="B4" i="17"/>
  <c r="B4" i="21"/>
  <c r="B4" i="18"/>
  <c r="B4" i="20"/>
  <c r="B4" i="19"/>
  <c r="H18" i="16"/>
  <c r="H17" i="16"/>
  <c r="H16" i="16"/>
  <c r="H20" i="16" l="1"/>
  <c r="B125" i="5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24" i="5" s="1"/>
  <c r="B105" i="5"/>
  <c r="A4" i="5"/>
  <c r="B3" i="14"/>
  <c r="B3" i="7"/>
  <c r="G73" i="15"/>
  <c r="F73" i="15"/>
  <c r="E73" i="15"/>
  <c r="B38" i="15"/>
  <c r="B29" i="15"/>
  <c r="L26" i="15"/>
  <c r="K26" i="15"/>
  <c r="J26" i="15"/>
  <c r="B19" i="15"/>
  <c r="B3" i="15"/>
  <c r="F20" i="16"/>
  <c r="E20" i="16"/>
  <c r="D20" i="16"/>
  <c r="C20" i="16"/>
  <c r="J19" i="16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D51" i="8"/>
  <c r="C51" i="8"/>
  <c r="B51" i="8"/>
  <c r="H32" i="8"/>
  <c r="I28" i="8" s="1"/>
  <c r="E32" i="8"/>
  <c r="B28" i="8" s="1"/>
  <c r="B33" i="8" s="1"/>
  <c r="G30" i="8"/>
  <c r="G29" i="8"/>
  <c r="G28" i="8"/>
  <c r="G27" i="8"/>
  <c r="G26" i="8"/>
  <c r="D20" i="8"/>
  <c r="C20" i="8"/>
  <c r="B20" i="8"/>
  <c r="B3" i="8"/>
  <c r="C207" i="17"/>
  <c r="C9" i="17"/>
  <c r="C8" i="17"/>
  <c r="C16" i="17"/>
  <c r="C22" i="17" s="1"/>
  <c r="D56" i="21"/>
  <c r="D43" i="21"/>
  <c r="E30" i="21"/>
  <c r="D30" i="21"/>
  <c r="C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F14" i="20"/>
  <c r="E37" i="20" s="1"/>
  <c r="F13" i="20"/>
  <c r="B36" i="20" s="1"/>
  <c r="F12" i="20"/>
  <c r="E35" i="20" s="1"/>
  <c r="F11" i="20"/>
  <c r="B34" i="20" s="1"/>
  <c r="F10" i="20"/>
  <c r="B33" i="20" s="1"/>
  <c r="F9" i="20"/>
  <c r="E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65" i="5" l="1"/>
  <c r="B78" i="5" s="1"/>
  <c r="B79" i="5" s="1"/>
  <c r="B35" i="20"/>
  <c r="E36" i="20"/>
  <c r="I29" i="8"/>
  <c r="B112" i="5"/>
  <c r="I30" i="8"/>
  <c r="F38" i="20"/>
  <c r="E31" i="18"/>
  <c r="D37" i="18"/>
  <c r="I26" i="8"/>
  <c r="I32" i="8" s="1"/>
  <c r="E33" i="20"/>
  <c r="D45" i="18"/>
  <c r="I27" i="8"/>
  <c r="D38" i="20"/>
  <c r="E34" i="20"/>
  <c r="B27" i="20"/>
  <c r="B37" i="20"/>
  <c r="B9" i="15"/>
  <c r="B15" i="15"/>
  <c r="C10" i="17"/>
  <c r="D16" i="17" s="1"/>
  <c r="C21" i="17"/>
  <c r="G32" i="8"/>
  <c r="E68" i="18"/>
  <c r="B32" i="20"/>
  <c r="F15" i="20"/>
  <c r="B29" i="8" s="1"/>
  <c r="D12" i="8" s="1"/>
  <c r="E31" i="20"/>
  <c r="F30" i="21"/>
  <c r="D16" i="21"/>
  <c r="B9" i="5"/>
  <c r="B89" i="5"/>
  <c r="C43" i="22"/>
  <c r="B20" i="16"/>
  <c r="G20" i="16"/>
  <c r="J20" i="16" s="1"/>
  <c r="I16" i="16"/>
  <c r="I17" i="16"/>
  <c r="I18" i="16"/>
  <c r="I19" i="16"/>
  <c r="J16" i="16"/>
  <c r="I20" i="16" l="1"/>
  <c r="B38" i="20"/>
  <c r="C31" i="20" s="1"/>
  <c r="E38" i="20"/>
  <c r="B37" i="8"/>
  <c r="C8" i="8"/>
  <c r="C35" i="20"/>
  <c r="C32" i="20"/>
  <c r="C38" i="20"/>
  <c r="B123" i="5"/>
  <c r="B115" i="5"/>
  <c r="B96" i="5"/>
  <c r="B26" i="5"/>
  <c r="C34" i="20" l="1"/>
  <c r="C36" i="20"/>
  <c r="C33" i="20"/>
  <c r="C37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<sst xmlns="http://schemas.openxmlformats.org/spreadsheetml/2006/main" count="906" uniqueCount="718">
  <si>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</si>
  <si>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</si>
  <si>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</si>
  <si>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</si>
  <si>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</si>
  <si>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</si>
  <si>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</si>
  <si>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</si>
  <si>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</si>
  <si>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</si>
  <si>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</si>
  <si>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</si>
  <si>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</si>
  <si>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</si>
  <si>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</si>
  <si>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</si>
  <si>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</si>
  <si>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</si>
  <si>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</si>
  <si>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</si>
  <si>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</si>
  <si>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</si>
  <si>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</si>
  <si>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</si>
  <si>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</si>
  <si>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</si>
  <si>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</si>
  <si>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</si>
  <si>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</si>
  <si>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</si>
  <si>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</si>
  <si>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</si>
  <si>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</si>
  <si>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</si>
  <si>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</si>
  <si>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</si>
  <si>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</si>
  <si>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</si>
  <si>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</si>
  <si>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</si>
  <si>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</si>
  <si>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</si>
  <si>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</si>
  <si>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</si>
  <si>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</si>
  <si>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</si>
  <si>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</si>
  <si>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</si>
  <si>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</si>
  <si>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</si>
  <si>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</si>
  <si>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</si>
  <si>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</si>
  <si>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</si>
  <si>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</si>
  <si>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</si>
  <si>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</si>
  <si>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</si>
  <si>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</si>
  <si>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</si>
  <si>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</si>
  <si>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</si>
  <si>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</si>
  <si>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</si>
  <si>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</si>
  <si>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</si>
  <si>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</si>
  <si>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</si>
  <si>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</si>
  <si>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</si>
  <si>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</si>
  <si>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</si>
  <si>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</si>
  <si>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</si>
  <si>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</si>
  <si>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</si>
  <si>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</si>
  <si>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</si>
  <si>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</si>
  <si>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</si>
  <si>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</si>
  <si>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</si>
  <si>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</si>
  <si>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</si>
  <si>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</si>
  <si>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</si>
  <si>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</si>
  <si>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</si>
  <si>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</si>
  <si>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</si>
  <si>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</si>
  <si>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</si>
  <si>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</si>
  <si>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</si>
  <si>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</si>
  <si>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</si>
  <si>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</si>
  <si>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</si>
  <si>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</si>
  <si>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</si>
  <si>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</si>
  <si>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</si>
  <si>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</si>
  <si>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</si>
  <si>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</si>
  <si>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</si>
  <si>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</si>
  <si>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</si>
  <si>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</si>
  <si>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</si>
  <si>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</si>
  <si>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</si>
  <si>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</si>
  <si>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</si>
  <si>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</si>
  <si>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</si>
  <si>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</si>
  <si>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</si>
  <si>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</si>
  <si>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</si>
  <si>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</si>
  <si>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</si>
  <si>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</si>
  <si>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</si>
  <si>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</si>
  <si>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</si>
  <si>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</si>
  <si>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</si>
  <si>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</si>
  <si>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</si>
  <si>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</si>
  <si>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</si>
  <si>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</si>
  <si>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</si>
  <si>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</si>
  <si>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</si>
  <si>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</si>
  <si>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</si>
  <si>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</si>
  <si>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</si>
  <si>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</si>
  <si>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</si>
  <si>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</si>
  <si>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</si>
  <si>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</si>
  <si>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</si>
  <si>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</si>
  <si>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</si>
  <si>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</si>
  <si>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</si>
  <si>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</si>
  <si>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</si>
  <si>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</si>
  <si>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</si>
  <si>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</si>
  <si>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</si>
  <si>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</si>
  <si>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</si>
  <si>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</si>
  <si>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</si>
  <si>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</si>
  <si>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</si>
  <si>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</si>
  <si>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</si>
  <si>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</si>
  <si>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</si>
  <si>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</si>
  <si>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</si>
  <si>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</si>
  <si>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</si>
  <si>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</si>
  <si>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</si>
  <si>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</si>
  <si>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</si>
  <si>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</si>
  <si>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</si>
  <si>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</si>
  <si>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</si>
  <si>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</si>
  <si>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</si>
  <si>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</si>
  <si>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</si>
  <si>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</si>
  <si>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</si>
  <si>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</si>
  <si>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</si>
  <si>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</si>
  <si>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</si>
  <si>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</si>
  <si>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</si>
  <si>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</si>
  <si>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</si>
  <si>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</si>
  <si>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</si>
  <si>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</si>
  <si>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</si>
  <si>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</si>
  <si>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</si>
  <si>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</si>
  <si>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</si>
  <si>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</si>
  <si>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</si>
  <si>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</si>
  <si>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</si>
  <si>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</si>
  <si>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</si>
  <si>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</si>
  <si>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</si>
  <si>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</si>
  <si>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</si>
  <si>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</si>
  <si>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</si>
  <si>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</si>
  <si>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</si>
  <si>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</si>
  <si>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</si>
  <si>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</si>
  <si>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</si>
  <si>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</si>
  <si>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</si>
  <si>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</si>
  <si>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</si>
  <si>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</si>
  <si>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</si>
  <si>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</si>
  <si>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</si>
  <si>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</si>
  <si>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</si>
  <si>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</si>
  <si>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</si>
  <si>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</si>
  <si>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</si>
  <si>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</si>
  <si>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</si>
  <si>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</si>
  <si>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</si>
  <si>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</si>
  <si>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</si>
  <si>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</si>
  <si>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</si>
  <si>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</si>
  <si>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</si>
  <si>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</si>
  <si>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</si>
  <si>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</si>
  <si>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</si>
  <si>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</si>
  <si>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</si>
  <si>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</si>
  <si>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</si>
  <si>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</si>
  <si>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</si>
  <si>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</si>
  <si>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</si>
  <si>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</si>
  <si>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</si>
  <si>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</si>
  <si>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</si>
  <si>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</si>
  <si>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</si>
  <si>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</si>
  <si>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</si>
  <si>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</si>
  <si>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</si>
  <si>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</si>
  <si>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</si>
  <si>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</si>
  <si>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</si>
  <si>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</si>
  <si>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</si>
  <si>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</si>
  <si>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</si>
  <si>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</si>
  <si>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</si>
  <si>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</si>
  <si>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</si>
  <si>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</si>
  <si>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</si>
  <si>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</si>
  <si>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</si>
  <si>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</si>
  <si>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</si>
  <si>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</si>
  <si>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</si>
  <si>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</si>
  <si>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</si>
  <si>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</si>
  <si>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</si>
  <si>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</si>
  <si>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</si>
  <si>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</si>
  <si>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</si>
  <si>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</si>
  <si>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</si>
  <si>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</si>
  <si>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</si>
  <si>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</si>
  <si>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</si>
  <si>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</si>
  <si>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</si>
  <si>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</si>
  <si>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</si>
  <si>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</si>
  <si>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</si>
  <si>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</si>
  <si>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</si>
  <si>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</si>
  <si>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</si>
  <si>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</si>
  <si>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</si>
  <si>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</si>
  <si>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</si>
  <si>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</si>
  <si>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</si>
  <si>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</si>
  <si>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</si>
  <si>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</si>
  <si>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</si>
  <si>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</si>
  <si>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</si>
  <si>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</si>
  <si>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</si>
  <si>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</si>
  <si>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</si>
  <si>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</si>
  <si>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</si>
  <si>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</si>
  <si>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</si>
  <si>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</si>
  <si>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</si>
  <si>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</si>
  <si>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</si>
  <si>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</si>
  <si>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</si>
  <si>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</si>
  <si>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</si>
  <si>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</si>
  <si>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</si>
  <si>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</si>
  <si>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</si>
  <si>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</si>
  <si>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</si>
  <si>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</si>
  <si>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</si>
  <si>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</si>
  <si>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</si>
  <si>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</si>
  <si>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</si>
  <si>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</si>
  <si>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</si>
  <si>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</si>
  <si>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</si>
  <si>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</si>
  <si>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</si>
  <si>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</si>
  <si>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</si>
  <si>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</si>
  <si>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</si>
  <si>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</si>
  <si>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</si>
  <si>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</si>
  <si>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</si>
  <si>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</si>
  <si>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</si>
  <si>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</si>
  <si>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</si>
  <si>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</si>
  <si>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</si>
  <si>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</si>
  <si>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</si>
  <si>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</si>
  <si>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</si>
  <si>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</si>
  <si>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</si>
  <si>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</si>
  <si>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</si>
  <si>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</si>
  <si>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</si>
  <si>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</si>
  <si>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</si>
  <si>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</si>
  <si>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</si>
  <si>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</si>
  <si>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</si>
  <si>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</si>
  <si>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</si>
  <si>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</si>
  <si>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</si>
  <si>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</si>
  <si>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</si>
  <si>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</si>
  <si>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</si>
  <si>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</si>
  <si>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</si>
  <si>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</si>
  <si>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</si>
  <si>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</si>
  <si>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</si>
  <si>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</si>
  <si>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</si>
  <si>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</si>
  <si>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</si>
  <si>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</si>
  <si>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</si>
  <si>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</si>
  <si>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</si>
  <si>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</si>
  <si>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</si>
  <si>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</si>
  <si>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</si>
  <si>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</si>
  <si>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</si>
  <si>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</si>
  <si>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</si>
  <si>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</si>
  <si>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</si>
  <si>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</si>
  <si>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</si>
  <si>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</si>
  <si>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</si>
  <si>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</si>
  <si>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</si>
  <si>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</si>
  <si>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</si>
  <si>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</si>
  <si>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</si>
  <si>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</si>
  <si>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</si>
  <si>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</si>
  <si>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</si>
  <si>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</si>
  <si>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</si>
  <si>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</si>
  <si>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</si>
  <si>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</si>
  <si>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</si>
  <si>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</si>
  <si>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</si>
  <si>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</si>
  <si>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</si>
  <si>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</si>
  <si>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</si>
  <si>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</si>
  <si>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</si>
  <si>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</si>
  <si>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</si>
  <si>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</si>
  <si>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</si>
  <si>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</si>
  <si>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</si>
  <si>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</si>
  <si>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</si>
  <si>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</si>
  <si>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</si>
  <si>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</si>
  <si>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</si>
  <si>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</si>
  <si>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</si>
  <si>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</si>
  <si>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</si>
  <si>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</si>
  <si>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</si>
  <si>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</si>
  <si>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</si>
  <si>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</si>
  <si>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</si>
  <si>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</si>
  <si>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</si>
  <si>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</si>
  <si>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</si>
  <si>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</si>
  <si>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</si>
  <si>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</si>
  <si>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</si>
  <si>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</si>
  <si>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</si>
  <si>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</si>
  <si>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</si>
  <si>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</si>
  <si>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</si>
  <si>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</si>
  <si>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</si>
  <si>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</si>
  <si>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</si>
  <si>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</si>
  <si>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</si>
  <si>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</si>
  <si>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</si>
  <si>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</si>
  <si>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</si>
  <si>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</si>
  <si>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</si>
  <si>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</si>
  <si>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</si>
  <si>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</si>
  <si>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</si>
  <si>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AGOSTO</t>
  </si>
  <si>
    <t>MUNICÍPIO, 15 DE SETEMBRO DE 2025.</t>
  </si>
  <si>
    <t>ABIRATERONA 250MG COMP</t>
  </si>
  <si>
    <t>MATIZ</t>
  </si>
  <si>
    <t>EUROFARMA LABORATORIOS S.A. FILIAL 8</t>
  </si>
  <si>
    <t>ALBUMINA HUMANA 20% 50ML</t>
  </si>
  <si>
    <t>ALTEplase 50MG 1 F/A+DIL. 50ML</t>
  </si>
  <si>
    <t>ACTILYSE</t>
  </si>
  <si>
    <t>BOEHRINGER INGELHEIM DO BRASIL QUIMICA E FARMACEUTICA LTDA.</t>
  </si>
  <si>
    <t>AMPICILINA 2G + SULBACTAM 1G AMP. ( IV / IM )</t>
  </si>
  <si>
    <t>GENERICO</t>
  </si>
  <si>
    <t>FRESENIUS KABI BRASIL LTDA.</t>
  </si>
  <si>
    <t>CeFAZolina 1G ( IV / IM ) AMP</t>
  </si>
  <si>
    <t>CEZOLIN</t>
  </si>
  <si>
    <t>BLAU FARMACEUTICA S.A.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</si>
  <si>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</si>
  <si>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</si>
  <si>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</si>
  <si>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</si>
  <si>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</si>
  <si>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</si>
  <si>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</si>
  <si>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</si>
  <si>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</si>
  <si>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</si>
  <si>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ENOXAparina 40MG/0,4ML SER. ( IV / SC )</t>
  </si>
  <si>
    <t>HEPTRIZ</t>
  </si>
  <si>
    <t>VIATRIS FARMACEUTICA DO BRASIL LTDA</t>
  </si>
  <si>
    <t>FILGRASTIM 300MCG/0,5ml - SC SERINGA (PRONTO PRA USO)</t>
  </si>
  <si>
    <t>FIPRIMA</t>
  </si>
  <si>
    <t>FLUORURACILA  2500MG/50ML – EV</t>
  </si>
  <si>
    <t xml:space="preserve">FAULDFLUOR </t>
  </si>
  <si>
    <t>LIBBS FARMACEUTICA LTDA</t>
  </si>
  <si>
    <t>LEUCOVORIN (FOLINATO DE CÁLCIO) 300MG/30ML</t>
  </si>
  <si>
    <t>MEROPENEM 1G AMP. ( IV )</t>
  </si>
  <si>
    <t>BLAU FARMACEUTICA S.A</t>
  </si>
  <si>
    <t>METILprednisolona 125MG AMP. ( IV / IM )</t>
  </si>
  <si>
    <t>OCTREOTIDA 0,1MG/ML</t>
  </si>
  <si>
    <t>OCTRIDE 100</t>
  </si>
  <si>
    <t>SUN FARMACEUTICA DO BRASIL LTDA</t>
  </si>
  <si>
    <t>OMEPRAZOL 40MG FR. ( IV )</t>
  </si>
  <si>
    <t>UNIPRAZOL</t>
  </si>
  <si>
    <t>UNIAO QUIMICA FARMACEUTICA NACIONAL S A - FILIAL 9</t>
  </si>
  <si>
    <t>PIPERACILINA 4G + TAZOBACTAM 0,5G AMP. ( IV )</t>
  </si>
  <si>
    <t>ROCUrônio 10MG/ML 5ML</t>
  </si>
  <si>
    <t>UNIREZ</t>
  </si>
  <si>
    <t>SOLUÇÃO FISIOLOGICA 0,9% 1000ML</t>
  </si>
  <si>
    <t>SOLUÇÃO FISIOLOGICA 0,9% 100ML</t>
  </si>
  <si>
    <t>SOLUÇÃO FISIOLOGICA 0,9% 500ML</t>
  </si>
  <si>
    <t>EQUIPLEX INDUSTRIA FARMACEUTICA LTDA -</t>
  </si>
  <si>
    <t>AVENTAL DESCARTAVEL MANGA LONGA 35G - PCT C/ 10 UNIDADES</t>
  </si>
  <si>
    <t>PREVEMAX</t>
  </si>
  <si>
    <t xml:space="preserve">BOMBA DE INFUSÃO ELASTOMERICA PORTATIL P/ TERAPIA DE INFUSÃO A CURTO E LONGO PRAZO CAPACIDADE P/ 270ML-5mL/hora- DESCARTÁVEL C/ POCHETE 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</si>
  <si>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</si>
  <si>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</si>
  <si>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</si>
  <si>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FRESENIUS MEDICAL CARE LTDA</t>
  </si>
  <si>
    <t>Equipo Bomba de Dieta Santronic   -   EQUIPO PARA BOMBA DE INFUSÃO SAMTRONIC ENTERAL S/FILTRO EI 0623 T000</t>
  </si>
  <si>
    <t>SAMTRONIC INDUSTRIA E COMERCIO LTDA</t>
  </si>
  <si>
    <t>Equipo Bomba Normal Santronic  -  EQUIPO PARA BOMBA DE INFUSÃO SAMTRONIC S/FILTRO EI 0421 0000</t>
  </si>
  <si>
    <t>F.VICRYL 1 C/A J535H</t>
  </si>
  <si>
    <t>JOHNSON</t>
  </si>
  <si>
    <t>GAZE 10X10 13FIOS C/10UNID ESTERIL</t>
  </si>
  <si>
    <t>04.04.02.073-9 - RECONSTRUÇÃO PARCIAL DE MANDÍBULA / MAXILA</t>
  </si>
  <si>
    <t>04.08.06.037-9 - RETIRADA DE PLACA E/OU PARAFUSOS</t>
  </si>
  <si>
    <t>04.08.02.022-9 - REDUÇÃO INCRUENTA DE LUXAÇÃO / FRATURA-LUXAÇÃO DO COTOVELO</t>
  </si>
  <si>
    <t>04.01.01.003-1 - DRENAGEM DE ABSCESSO</t>
  </si>
  <si>
    <t>04.16.02.019-4 - MEDIASTINOSCOPIA/LINFADENECTOMIA MEDIASTINAL EM ONCOLOGIA</t>
  </si>
  <si>
    <t>Analista de TI</t>
  </si>
  <si>
    <t>Auxiliar Administrativo - ONCOLOGIA</t>
  </si>
  <si>
    <t>Gerente Assistencial</t>
  </si>
  <si>
    <t>Gerente Enfernagem</t>
  </si>
  <si>
    <t>Auxiliar Administrativo (agendamento)</t>
  </si>
  <si>
    <t>Assistente Administrativo- Financeiro</t>
  </si>
  <si>
    <t>BIOMÉDICO</t>
  </si>
  <si>
    <t>AUXILIAR ADMINISTRATIVO(FAT)</t>
  </si>
  <si>
    <t>GERENTE DE SUPRIMENTOS</t>
  </si>
  <si>
    <t>SUPERVISOR MANUTENÇÃO</t>
  </si>
  <si>
    <t>SUPERVISORA SERV OPERACIONAIS</t>
  </si>
  <si>
    <t>02.01.01.020-8 - BIOPSIA DE FIGADO EM CUNHA / FRAGMENTO-Média Complexidade</t>
  </si>
  <si>
    <t>02.04.05.002-2 - COLANGIOGRAFIA PER-OPERATORIA-Média Complexidade</t>
  </si>
  <si>
    <t>02.09.01.006-1 - VIDEOLAPAROSCOPIA-Média Complexidade</t>
  </si>
  <si>
    <t>02.09.02.001-6 - CISTOSCOPIA E/OU URETEROSCOPIA E/OU URETROSCOPIA-Média Complexidade</t>
  </si>
  <si>
    <t>02.09.04.001-7 - BRONCOSCOPIA (BRONCOFIBROSCOPIA)-Média Complexidade</t>
  </si>
  <si>
    <t>03.10.01.003-9 - PARTO NORMAL-Média Complexidade</t>
  </si>
  <si>
    <t>04.01.02.005-3 - EXCISÃO E SUTURA DE LESAO NA PELE C/ PLÁSTICA EM Z OU ROTAÇÃO DE RETALHO-Média Complexidade</t>
  </si>
  <si>
    <t>04.01.02.010-0 - EXTIRPAÇÃOE SUPRESSÃO DE LESÃO DE PELE E DE TECIDO CELULAR SUBCUTÂNEO-Média Complexidade</t>
  </si>
  <si>
    <t>04.03.01.001-2 - CRANIOPLASTIA-Média Complexidade</t>
  </si>
  <si>
    <t>04.03.01.002-0 - CRANIOTOMIA DESCOMPRESSIVA-Média Complexidade</t>
  </si>
  <si>
    <t>04.03.01.009-8 - DERIVAÇÃO VENTRICULAR EXTERNAR-SUBGALEAL EXTERNA-Média Complexidade</t>
  </si>
  <si>
    <t>04.03.01.028-4 - TRATAMENTO CIRURGICO DE HEMATOMA INTRACEREBRAL-Média Complexidade</t>
  </si>
  <si>
    <t>04.03.01.030-6 - TRATAMENTO CIRURGICO DE HEMATOMA  SUBDURAL  AGUDO-Média Complexidade</t>
  </si>
  <si>
    <t>04.03.01.031-4 - TRATAMENTO CIRURGICO DE HEMATOMA SUBDURAL CRONICO-Média Complexidade</t>
  </si>
  <si>
    <t>04.03.01.036-5 - TREPANAÇÃO CRANIANA PARA PUNÇÃO OU BIÓPSIA-Média Complexidade</t>
  </si>
  <si>
    <t>04.04.01.003-2 - AMIGDALECTOMIA COM ADENOIDECTOMIA-Média Complexidade</t>
  </si>
  <si>
    <t>04.04.01.022-9 - MASTOIDECTOMIA SUBTOTAL-Média Complexidade</t>
  </si>
  <si>
    <t>04.04.01.037-7 - TRAQUEOSTOMIA-Média Complexidade</t>
  </si>
  <si>
    <t>04.04.02.051-8 - OSTEOSSÍNTESE DE FRATURA COMPLEXA DA MAXILA-Média Complexidade</t>
  </si>
  <si>
    <t>04.04.02.052-6 - OSTEOSSINTESE DE FRATURA DO COMPLEXO ÓRBITO-ZIGOMÁTICO-MAXILAR-Média Complexidade</t>
  </si>
  <si>
    <t>04.04.02.054-2 - REDUÇÃO CIRÚRGICA DE FRATURA DOS OSSOS PRÓPRIOS DO NARIZ-Média Complexidade</t>
  </si>
  <si>
    <t>04.04.02.070-4 - OSTEOSSÍNTESE DA FRATURA DO OSSO ZIGOMÁTICO-Média Complexidade</t>
  </si>
  <si>
    <t>04.04.03.005-0 - COLEDOCOPLASTIA-Média Complexidade</t>
  </si>
  <si>
    <t>04.06.02.022-1 - LINFADENECTOMIA RADICAL AXILAR UNILATERAL-Média Complexidade</t>
  </si>
  <si>
    <t>04.06.02.028-0 - LINFADENECTOMIA RETROPERITONIAL-Média Complexidade</t>
  </si>
  <si>
    <t>04.06.02.049-3 - TRATAMENTO CIRURGICO DE LESOES VASCULARES TRAUMATICAS DA REGIAO CERVICAL-Média Complexidade</t>
  </si>
  <si>
    <t>04.06.02.056-6 - TRATAMENTO CIRURGICO DE VARIZES (BILATERAL)-	Média Complexidade</t>
  </si>
  <si>
    <t>04.06.02.057-4 - TRATAMENTO CIRÚRGICO DE VARIZES (UNILATERAL)-Média Complexidade</t>
  </si>
  <si>
    <t>04.07.01.021-1 - GASTROSTOMIA-Média Complexidade</t>
  </si>
  <si>
    <t>04.07.01.024-6 - RETIRADA DE CORPO ESTRANHO DO TUBO DIGESTIVO POR ENDOSCOPIA-Média Complexidade</t>
  </si>
  <si>
    <t>04.07.01.030-0 - TRATAMENTO CIRÚRGICO DE VARIZES ESOFÁGICAS-Média Complexidade</t>
  </si>
  <si>
    <t>04.07.02.003-9 -  APENDICECTOMIA-Média Complexidade</t>
  </si>
  <si>
    <t>04.07.02.004-7 - APENDICECTOMIA VIDEOLAPAROSCÓPICA-Média Complexidade</t>
  </si>
  <si>
    <t>04.07.02.006-3 -  COLECTOMIA PARCIAL (HEMICOLECTOMIA)-Média Complexidade</t>
  </si>
  <si>
    <t>04.07.02.010-1 - COLOSTOMIA -Média Complexidade</t>
  </si>
  <si>
    <t>04.07.02.013-6 - DRENAGEM DE ABSCESSO ANU-RETAL-Média Complexidade</t>
  </si>
  <si>
    <t>04.07.02.015-2 - DRENAGEM DE HEMATOMA / ABCESSO RETRO-RETAL-Média Complexidade</t>
  </si>
  <si>
    <t>04.07.02.017-9 - ENTERECTOMIA-Média Complexidade</t>
  </si>
  <si>
    <t>04.07.02.018-7 - ENTEROANASTOMOSE (QUALQUER SEGMENTO)-Média Complexidade</t>
  </si>
  <si>
    <t>04.07.02.020-9 - ENTEROTOMIA E/OU ENTERORRAFIA C/ SUTURA / RESSECÇÃO (QUALQUER SEGMENTO)-Média Complexidade</t>
  </si>
  <si>
    <t>04.07.02.030-6 - JEJUNOSTOMIA / ILEOSTOMIA-Média Complexidade</t>
  </si>
  <si>
    <t>04.07.02.040-3 - RETOSSIGMOIDECTOMIA ABDOMINAL-Média Complexidade</t>
  </si>
  <si>
    <t>04.07.03.001-8 - ANASTOMOSE BILEO-DIGESTIVA-Média Complexidade</t>
  </si>
  <si>
    <t>04.07.03.002-6 - COLECISTECTOMIA-Média Complexidade</t>
  </si>
  <si>
    <t>04.07.03.003-4 - COLECISTECTOMIA  VIDEOLAPAROSCÓPICA-Média Complexidade</t>
  </si>
  <si>
    <t>04.07.04.001-3 - DRENAGEM DE ABSCESSO PÉLVICO-Média Complexidade</t>
  </si>
  <si>
    <t>04.07.04.002-1 - DRENAGEM DE ABSCESSO SUBFRÊNICO-	Média Complexidade</t>
  </si>
  <si>
    <t>04.07.04.008-0 - HERNIOPLASTIA INCISIONAL-Média Complexidade</t>
  </si>
  <si>
    <t>04.07.04.009-9 - HERNIOPLASTIA INGUINAL (BILATERAL)-Média Complexidade</t>
  </si>
  <si>
    <t>04.07.04.010-2 - HERNIOPLASTIA INGUINAL / CRURAL (UNILATERAL)-	Média Complexidade</t>
  </si>
  <si>
    <t>04.07.04.012-9 - HERNIOPLASTIA UMBILICAL-Média Complexidade</t>
  </si>
  <si>
    <t>04.07.04.013-7 - HERNIORRAFIA INGUINAL VIDEOLAPAROSCÓPICA-Média Complexidade</t>
  </si>
  <si>
    <t>04.07.04.016-1 - LAPAROTOMIA EXPLORADORA-Média Complexidade</t>
  </si>
  <si>
    <t>04.07.04.018-8 - LIBERAÇÃO DE ADERÊNCIAS INTESTINAIS-Média Complexidade</t>
  </si>
  <si>
    <t>04.07.04.023-4 - RESSECÇÃO DO EPIPLOM-Média Complexidade</t>
  </si>
  <si>
    <t>04.07.04.025-0 - TRATAMENTO CIRÚRGICO DE PERITONITE-Média Complexidade</t>
  </si>
  <si>
    <t>04.08.01.013-4 - REDUCAO INCRUENTA DE LUXAÇÃO OU FRATURA / LUXAÇÃO ESCÁPULO-UMERAL-Média Complexidade</t>
  </si>
  <si>
    <t>04.08.01.014-2 - REPARO DE ROTURA DO MANGUITO ROTADOR (INCLUI PROCEDIMENTOS DESCOMPRESSIVOS)-Média Complexidade</t>
  </si>
  <si>
    <t>04.08.01.015-0 - TRATAMENTO CIRÚRGICO DE FRATURA DA CLAVÍCULA-Média Complexidade</t>
  </si>
  <si>
    <t>04.08.01.018-5 - TRATAMENTO CIRURGICO DE LUXACAO / FRATURA-LUXACAO ACROMIO-CLAVICULAR-Média Complexidade</t>
  </si>
  <si>
    <t>04.08.02.033-4 - TRATAMENTO CIRÚRGICO DE FRATURA / LESÃO FISARIA DA EXTREMIDADE PROXIMAL DO UMERO-Média Complexidade</t>
  </si>
  <si>
    <t>04.08.02.034-2 - TRATAMENTO CIRÚRGICO DE FRATURA / LESÃO FISARIA DAS FALANGES DA MÃO (COM FIXAÇÃO)-Média Complexidade</t>
  </si>
  <si>
    <t>04.08.02.035-0 - TRATAMENTO CIRÚRGICO DE FRATURA / LESÃO FISARIA DE EPICÔNDILO / EPITROCLEA DO ÚMERO-Média Complexidade</t>
  </si>
  <si>
    <t>04.08.02.038-5 - TRATAMENTO CIRÚRGICO DE FRATURA / LESÃO FISARIA SUPRACONDILIANA DO ÚMERO-Média Complexidade</t>
  </si>
  <si>
    <t>04.08.02.039-3 - TRATAMENTO CIRÚGICO DE FRATURA DA DIÁFISE DO ÚMERO-	Média Complexidade</t>
  </si>
  <si>
    <t>04.08.02.040-7 - TRATAMENTO CIRÚRGICO DE FRATURA DA EXTREMIDADE / METÁFISE DISTAL DOS OSSOS DO ANTEBRAÇO-Média Complexidade</t>
  </si>
  <si>
    <t>04.08.02.041-5 - TRATAMENTO CIRÚRGICO DE FRATURA DE EXTREMIDADES / METÁFISE PROXIMAL DOS OSSOS DO ANTEBRAÇO-Média Complexidade</t>
  </si>
  <si>
    <t>04.08.02.042-3 - TRATAMENTO CIRÚRGICO DE FRATURA DIAFISARIA DE AMBOS OS OSSOS DO ANTEBRAÇO (C/ SINTESE)-Média Complexidade</t>
  </si>
  <si>
    <t>04.08.02.053-9 - TRATAMENTO CIRÚRGICO DE LUXAÇÃO / FRATURA-LUXAÇÃO METACARPO-FALANGIANA-Média Complexidade</t>
  </si>
  <si>
    <t>04.08.02.054-7 - TRATAMENTO CIRÚRGICO DE LUXAÇÃO OU FRATURA-LUXAÇÃO DO COTOVELO-Média Complexidade</t>
  </si>
  <si>
    <t>04.08.02.056-3 - TRATAMENTO CIRÚRGICO DE PSEUDARTROSE / RETARDO DE CONSOLIDAÇÃO / PERDA ÓSSEA DO ANTEBRAÇO-Média Complexidade</t>
  </si>
  <si>
    <t>04.08.04.008-4 - ARTROPLASTIA TOTAL PRIMÁRIA DO QUADRIL CIMENTADA-Média Complexidade</t>
  </si>
  <si>
    <t>04.08.04.019-0 - REDUÇÃO INCRUENTA DE LUXAÇÃO COXOFEMORAL TRAUMÁTICA / PÓS-ARTROPLASTIA-Média Complexidade</t>
  </si>
  <si>
    <t>04.08.04.021-1 - RETIRADA DE ENXERTO AUTÓGENO DE ILÍACO-Média Complexidade</t>
  </si>
  <si>
    <t>04.08.05.001-2 - AMPUTACAO / DESARTICULACAO DE MEMBROS INFERIORES-Média Complexidade</t>
  </si>
  <si>
    <t>04.08.05.002-0 - AMPUTACAO / DESARTICULACAO DE PE E TARSO-Média Complexidade</t>
  </si>
  <si>
    <t>04.08.05.048-9 - TRATAMENTO CIRURGICO DE FRATURA / LESAO FISARIA PROXIMAL (COLO) DO FEMUR (SINTESE)-Média Complexidade</t>
  </si>
  <si>
    <t>04.08.05.049-7 - TRATAMENTO CIRÚRGICO DE FRATURA BIMALEOLAR / TRIMALEOLAR / DA FRATURA-LUXAÇÃO DO TORNOZELO-Média Complexidade</t>
  </si>
  <si>
    <t>04.08.05.050-0 - TRATAMENTO CIRÚRGICO DE FRATURA DA DIÁFISE DA TÍBIA-Média Complexidade</t>
  </si>
  <si>
    <t>04.08.05.051-9 - TRATAMENTO CIRÚRGICO DE FRATURA DA DIÁFISE DO FÊMUR-Média Complexidade</t>
  </si>
  <si>
    <t>04.08.05.052-7 - TRATAMENTO CIRÚRGICO DE FRATURA DA PATELA POR FIXAÇÃO INTERNA-Média Complexidade</t>
  </si>
  <si>
    <t>04.08.05.053-5 - TRATAMENTO CIRÚRGICO DE FRATURA DO CALCÂNEO-Média Complexidade</t>
  </si>
  <si>
    <t>04.08.05.054-3 - TRATAMENTO CIRÚRGICO DE FRATURA DO PILÃO TIBIAL-Média Complexidade</t>
  </si>
  <si>
    <t>04.08.05.055-1 - TRATAMENTO CIRÚRGICO DE FRATURA DO PLANALTO TIBIAL-	Média Complexidade</t>
  </si>
  <si>
    <t>04.08.05.060-8 - TRATAMENTO CIRÚRGICO DE FRATURA LESÃO FISÁRIA DISTAL DE TÍBIA-Média Complexidade</t>
  </si>
  <si>
    <t>04.08.05.062-4 - TRATAMENTO CIRÚRGICO DE FRATURA SUPRACONDILEANA DO FÊMUR (METÁFISE DISTAL)-Média Complexidade</t>
  </si>
  <si>
    <t>04.08.05.063-2 - TRATAMENTO CIRÚRGICO DE FRATURA TRANSTROCANTERIANA-Média Complexidade</t>
  </si>
  <si>
    <t>04.08.06.004-2 -  AMPUTAÇÃO / DESARTICULAÇÃO DE DEDO-Média Complexidade</t>
  </si>
  <si>
    <t>04.08.06.012-3 - EXPLORAÇÃO ARTICULAR C/ OU S/ SINOVECTOMIA DE MÉDIAS / GRANDES ARTICULAÇÕES-	Média Complexidade</t>
  </si>
  <si>
    <t>04.08.06.033-6 - RETIRADA DE CORPO ESTRANHO INTRA-ÓSSEO-Média Complexidade</t>
  </si>
  <si>
    <t>04.08.06.035-2 - RETIRADA DE FIO OU PINO INTRA-ÓSSEO-Média Complexidade</t>
  </si>
  <si>
    <t>04.08.06.042-5 - REVISÃO CIRÚRGICA DE COTO DE AMPUTAÇÃO DOS DEDOS-Média Complexidade</t>
  </si>
  <si>
    <t>04.08.06.047-6 - TENOPLASTIA OU ENXERTO DE TENDÃO UNICO-Média Complexidade</t>
  </si>
  <si>
    <t>04.08.06.048-4 - TENORRAFIA ÚNICA EM TÚNEL OSTEO-FIBROSO-Média Complexidade</t>
  </si>
  <si>
    <t>04.08.06.063-8 - TRATAMENTO CIRÚRGICO DE LUXAÇÃO / FRATURA-LUXAÇÃO METATARSO INTER-FALANGEANA-Média Complexidade</t>
  </si>
  <si>
    <t>04.08.06.067-0 TRATAMENTO CIRÚRGICO DE RETRAÇÃO MUSCULAR -Média Complexidade</t>
  </si>
  <si>
    <t>04.09.01.006-5 - CISTOLITOTOMIA E/OU RETIRADA DE CORPO ESTRANHO DA BEXIGA-Média Complexidade</t>
  </si>
  <si>
    <t>04.09.01.009-0 - CISTOSTOMIA-Média Complexidade</t>
  </si>
  <si>
    <t>04.09.01.017-0 - INSTALAÇÃO ENDOSCÓPICA DE CATETER DUPLO J-	Média Complexidade</t>
  </si>
  <si>
    <t>04.09.01.029-4 - NEFROSTOMIA PERCUTÂNEA-Média Complexidade</t>
  </si>
  <si>
    <t>04.09.01.038-3 - RESSECCAO ENDOSCOPICA DE LESÃO VESICAL-Média Complexidade</t>
  </si>
  <si>
    <t>04.09.03.002-3 - PROSTATECTOMIA SUPRAPÚBICA-Média Complexidade</t>
  </si>
  <si>
    <t>04.09.04.012-6 - ORQUIDOPEXIA BILATERAL-Média Complexidade</t>
  </si>
  <si>
    <t>04.09.04.013-4 - ORQUIDOPEXIA UNILATERAL-Média Complexidade</t>
  </si>
  <si>
    <t>04.09.04.014-2 - ORQUIECTOMIA SUBCAPSULAR BILATERAL-Média Complexidade</t>
  </si>
  <si>
    <t>04.09.04.015-0 - ORQUIECTOMIA UNI OU BILATERAL COM ESVAZIAMENTO GANGLIONAR-	Média Complexidade</t>
  </si>
  <si>
    <t>04.09.04.016-9 - ORQUIECTOMIA UNILATERAL-Média Complexidade</t>
  </si>
  <si>
    <t>04.09.04.021-5 - TRATAMENTO CIRÚRGICO DE HIDROCELE-Média Complexidade</t>
  </si>
  <si>
    <t>04.09.06.018-6 - LAQUEADURA TUBARIA-Média Complexidade</t>
  </si>
  <si>
    <t>04.09.06.021-6 - OOFORECTOMIA / OOFOROPLASTIA-Média Complexidade</t>
  </si>
  <si>
    <t>04.10.01.007-3 - PLASTICA MAMÁRIA FEMININA NAO ESTETICA-Média Complexidade</t>
  </si>
  <si>
    <t>04.10.01.011-1 - SETORECTOMIA / QUADRANTECTOMIA-Média Complexidade</t>
  </si>
  <si>
    <t>04.11.01.003-4 - OPERACAO CESARIANA-Média Complexidade</t>
  </si>
  <si>
    <t>04.11.01.004-2 - OPERACAO CESARIANA C/ LAQUEADURA TUBARIA-Média Complexidade</t>
  </si>
  <si>
    <t>04.11.02.001-3 - CURETAGEM POS-ABORTAMENTO / PUERPERAL-Média Complexidade</t>
  </si>
  <si>
    <t>04.12.04.016-6 - TORACOSTOMIA COM DRENAGEM PLEURAL FECHADA-Média Complexidade</t>
  </si>
  <si>
    <t>04.12.05.017-0 - TORACOCENTESE/DRENAGEM DE PLEURA-Média Complexidade</t>
  </si>
  <si>
    <t>04.15.04.003-5 - DEBRIDAMENTO DE ULCERA  / DE TECIDOS DESVITALIZADOS-Média Complexidade</t>
  </si>
  <si>
    <t>04.15.04.004-3 - DEBRIDAMENTO DE ULCERA / NECROSE-	Média Complexidade</t>
  </si>
  <si>
    <t>07.02.04.011-8 - CATETER DE ACESSO VENOSO CENTRAL POR INSERÇÃO PERIFÉRICA (PICC)- Média Complexidade</t>
  </si>
  <si>
    <t>04.16.02.002-0 - LINFADENECTOMIA PELVICA EM ONCOLOGIA-Alta Complexidade</t>
  </si>
  <si>
    <t>04.16.01.002-4 - CISTECTOMIA COM DERIVACAO EM 1SÓ TEMPO EM ONCOLOGIA-Alta Complexidade</t>
  </si>
  <si>
    <t>04.16.04.020-9 - LAPAROTOMIA EXPLORADORA COM RESSECÇÃO COMPLETA OU INCOMPLETA DO TUMOR EM ONCOLOGIA-Alta Complexidade</t>
  </si>
  <si>
    <t>04.16.12.003-2 - MASTECTOMIA SIMPLES EM ONCOLOGIA-Alta Complexidade</t>
  </si>
  <si>
    <t>04.16.08.003-0 - EXCISÃO E SUTURA DE LESÃO NA PELE COM PLASTICA EM Z OU ROTAÇÃO DE RETALHO EM ONCOLOGIA-Alta Complexidade</t>
  </si>
  <si>
    <t>04.16.06.006-4 - HISTERECTOMIA TOTAL AMPLIADA EM ONCOLOGIA-Alta Complexidade</t>
  </si>
  <si>
    <t>04.16.02.022-4 - LINFADENECTOMIA RETROPERITONIAL EM ONCOLOGIA-Alta Complexidade</t>
  </si>
  <si>
    <t>04.16.12.005-9 - SEGMENTECTOMIA/QUADRANTECTOMIA/SETORECTOMIA DE MAMA EM ONCOLOGIA-Alta Complexidade</t>
  </si>
  <si>
    <t>04.16.02.024-0 - LINFADENECTOMIA SELETIVA GUIADA (LINFONODO SENTINELA) EM ONCOLOGIA-Alta Complexidade</t>
  </si>
  <si>
    <t>04.16.08.008-1 - RECONSTRUÇÃO COM RETALHO MIOCUTÂNEO (QUALQUER PARTE) EM ONCOLOGIA-Alta Complexidade</t>
  </si>
  <si>
    <t>04.16.01.017-2 - RESSECÇÃO ENDOSCÓPICA DE TUMOR VESICAL EM ONCOLOGIA-Alta Complexidade</t>
  </si>
  <si>
    <t>05.03.04.008-8 - CAPTAÇÃO DE ÓRGÃO EFETIVAMENTE TRANSPLANTADO-Alta Complexidade</t>
  </si>
  <si>
    <t>04.06.02.007-8 - IMPLANTAÇÃO DE CATETER DE LONGA PERMANÊNCIA SEMI OU TOTALMENTE IMPLANTAVEL (PROCEDIMENTO PRINCIPAL)-Alta Complexidade</t>
  </si>
  <si>
    <t>04.16.04.004-7 - ESOFAGOCOLOPLASTIA OU ESOFAGOGASTROPLASTIA EM ONCOLOGIA-Alta Complexidade</t>
  </si>
  <si>
    <t>04.16.05.002-6 - COLECTOMIA PARCIAL (HEMICOLECTOMIA) EM ONCOLOGIA-Alta Complexidade</t>
  </si>
  <si>
    <t>04.16.12.002-4 - MASTECTOMIA RADICAL COM LINFADENECTOMIA AXILAR EM ONCOLOGIA-Alta Complexidade</t>
  </si>
  <si>
    <t>04.16.08.001-4 - EXCISÂO E ENXERTO DE PELE EM ONCOLOGIA-Alta Complexidade</t>
  </si>
  <si>
    <t>04.07.01.012-2 - GASTRECTOMIA COM OU SEM DESVIO DUODENAL-Alta Complexidade</t>
  </si>
  <si>
    <t>04.16.06.012-9 - LAPAROTOMIA PARA AVALIAÇÃO DE TUMOR DE OVÁRIO EM ONCOLOGIA-	Alta Complexidade</t>
  </si>
  <si>
    <t>04.16.05.001-8 - AMPUTAÇÃO ABDOMINO-PERINEAL DE RETO EM ONCOLOGIA-	Alta Complexidade</t>
  </si>
  <si>
    <t>04.18.01.003-0 - CONFECCAO DE FISTULA ARTERIO-VENOSA P/ HEMODIALISE-	Alta Complexidade</t>
  </si>
  <si>
    <t>04.18.01.004-8 - IMPLANTE DE CATETER DE LONGA PERMANÊNCIA P/ HEMODIALISE-Alta Complexidade</t>
  </si>
  <si>
    <t>04.04.03.032-7 - OSTEOPLASTIA FRONTO-ORBITAL-Alta Complexidade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</si>
</sst>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">
    <xf numFmtId="0" fontId="0" fillId="0" borderId="0"/>
    <xf numFmtId="43" fontId="4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18" fillId="0" borderId="0"/>
    <xf numFmtId="9" fontId="41" fillId="0" borderId="0" applyFont="0" applyFill="0" applyBorder="0" applyAlignment="0" applyProtection="0"/>
    <xf numFmtId="0" fontId="18" fillId="16" borderId="47" applyNumberFormat="0" applyFont="0" applyAlignment="0" applyProtection="0"/>
    <xf numFmtId="43" fontId="18" fillId="0" borderId="0" applyFont="0" applyFill="0" applyBorder="0" applyAlignment="0" applyProtection="0"/>
  </cellStyleXfs>
  <cellXfs count="654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8" fillId="7" borderId="18" xfId="0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/>
      <protection locked="0"/>
    </xf>
    <xf numFmtId="166" fontId="9" fillId="0" borderId="19" xfId="6" applyNumberFormat="1" applyFont="1" applyBorder="1" applyAlignment="1" applyProtection="1">
      <alignment horizont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8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49" fontId="10" fillId="0" borderId="25" xfId="0" applyNumberFormat="1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8" borderId="18" xfId="0" applyFill="1" applyBorder="1" applyAlignment="1">
      <alignment vertical="center" wrapText="1"/>
    </xf>
    <xf numFmtId="0" fontId="0" fillId="0" borderId="18" xfId="0" applyBorder="1" applyAlignment="1">
      <alignment horizontal="left" vertical="center" wrapText="1"/>
    </xf>
    <xf numFmtId="0" fontId="10" fillId="0" borderId="4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  <protection locked="0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right" wrapText="1"/>
      <protection locked="0"/>
    </xf>
    <xf numFmtId="0" fontId="14" fillId="0" borderId="10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20" xfId="0" applyFont="1" applyBorder="1" applyAlignment="1">
      <alignment vertical="center" wrapText="1"/>
    </xf>
    <xf numFmtId="3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wrapText="1"/>
      <protection locked="0"/>
    </xf>
    <xf numFmtId="0" fontId="14" fillId="10" borderId="0" xfId="0" applyFont="1" applyFill="1" applyAlignment="1" applyProtection="1">
      <alignment horizontal="center" vertical="center" wrapText="1"/>
      <protection locked="0"/>
    </xf>
    <xf numFmtId="0" fontId="14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>
      <alignment vertical="center"/>
    </xf>
    <xf numFmtId="3" fontId="14" fillId="11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3" fontId="14" fillId="10" borderId="2" xfId="0" applyNumberFormat="1" applyFont="1" applyFill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14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4" fillId="0" borderId="3" xfId="0" applyFont="1" applyBorder="1" applyAlignment="1" applyProtection="1">
      <alignment horizontal="right" wrapText="1"/>
      <protection locked="0"/>
    </xf>
    <xf numFmtId="3" fontId="14" fillId="10" borderId="21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10" borderId="3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1" xfId="0" applyFont="1" applyBorder="1" applyAlignment="1" applyProtection="1">
      <alignment wrapText="1"/>
      <protection locked="0"/>
    </xf>
    <xf numFmtId="0" fontId="14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right" wrapText="1"/>
      <protection locked="0"/>
    </xf>
    <xf numFmtId="0" fontId="6" fillId="10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 applyProtection="1">
      <alignment horizontal="center" wrapText="1"/>
      <protection locked="0"/>
    </xf>
    <xf numFmtId="0" fontId="14" fillId="0" borderId="4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0" fontId="14" fillId="0" borderId="20" xfId="0" applyFont="1" applyBorder="1" applyAlignment="1" applyProtection="1">
      <alignment wrapText="1"/>
      <protection locked="0"/>
    </xf>
    <xf numFmtId="0" fontId="14" fillId="0" borderId="36" xfId="0" applyFont="1" applyBorder="1" applyAlignment="1" applyProtection="1">
      <alignment horizontal="center" wrapText="1"/>
      <protection locked="0"/>
    </xf>
    <xf numFmtId="0" fontId="14" fillId="0" borderId="36" xfId="0" applyFont="1" applyBorder="1" applyAlignment="1" applyProtection="1">
      <alignment horizontal="right" wrapText="1"/>
      <protection locked="0"/>
    </xf>
    <xf numFmtId="0" fontId="14" fillId="0" borderId="23" xfId="0" applyFont="1" applyBorder="1" applyAlignment="1" applyProtection="1">
      <alignment horizontal="center" wrapText="1"/>
      <protection locked="0"/>
    </xf>
    <xf numFmtId="0" fontId="6" fillId="10" borderId="23" xfId="0" applyFont="1" applyFill="1" applyBorder="1" applyAlignment="1">
      <alignment horizontal="center" wrapText="1"/>
    </xf>
    <xf numFmtId="0" fontId="14" fillId="0" borderId="36" xfId="0" applyFont="1" applyBorder="1" applyAlignment="1" applyProtection="1">
      <alignment wrapText="1"/>
      <protection locked="0"/>
    </xf>
    <xf numFmtId="0" fontId="14" fillId="0" borderId="21" xfId="0" applyFont="1" applyBorder="1" applyAlignment="1" applyProtection="1">
      <alignment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4" fillId="0" borderId="0" xfId="0" applyNumberFormat="1" applyFont="1" applyAlignment="1">
      <alignment horizontal="righ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6" fillId="9" borderId="3" xfId="0" applyFont="1" applyFill="1" applyBorder="1" applyAlignment="1">
      <alignment vertical="center" wrapText="1"/>
    </xf>
    <xf numFmtId="0" fontId="16" fillId="11" borderId="0" xfId="0" applyFont="1" applyFill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10" fontId="16" fillId="12" borderId="0" xfId="4" applyNumberFormat="1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left" vertical="center"/>
    </xf>
    <xf numFmtId="10" fontId="15" fillId="11" borderId="36" xfId="4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10" fontId="16" fillId="12" borderId="13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1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3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14" fillId="0" borderId="6" xfId="0" applyNumberFormat="1" applyFont="1" applyBorder="1" applyAlignment="1" applyProtection="1">
      <alignment horizontal="center" vertical="center"/>
      <protection locked="0"/>
    </xf>
    <xf numFmtId="3" fontId="14" fillId="0" borderId="14" xfId="0" applyNumberFormat="1" applyFont="1" applyBorder="1" applyAlignment="1" applyProtection="1">
      <alignment horizontal="center" vertical="center"/>
      <protection locked="0"/>
    </xf>
    <xf numFmtId="3" fontId="14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4" fillId="0" borderId="39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4" fillId="10" borderId="39" xfId="0" applyNumberFormat="1" applyFont="1" applyFill="1" applyBorder="1" applyAlignment="1">
      <alignment horizontal="center" vertical="center" wrapText="1"/>
    </xf>
    <xf numFmtId="2" fontId="14" fillId="10" borderId="25" xfId="0" applyNumberFormat="1" applyFont="1" applyFill="1" applyBorder="1" applyAlignment="1">
      <alignment horizontal="center" vertical="center" wrapText="1"/>
    </xf>
    <xf numFmtId="9" fontId="14" fillId="10" borderId="40" xfId="2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10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10" borderId="0" xfId="0" applyNumberFormat="1" applyFill="1" applyAlignment="1">
      <alignment horizontal="center" vertical="center"/>
    </xf>
    <xf numFmtId="3" fontId="0" fillId="11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1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8" fillId="13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10" borderId="26" xfId="0" applyNumberFormat="1" applyFill="1" applyBorder="1" applyAlignment="1">
      <alignment horizontal="center" vertical="center"/>
    </xf>
    <xf numFmtId="3" fontId="7" fillId="10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10" borderId="21" xfId="0" applyNumberForma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10" borderId="36" xfId="0" applyNumberFormat="1" applyFill="1" applyBorder="1" applyAlignment="1">
      <alignment horizontal="center" vertical="center"/>
    </xf>
    <xf numFmtId="3" fontId="0" fillId="10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10" borderId="12" xfId="0" applyNumberFormat="1" applyFill="1" applyBorder="1" applyAlignment="1">
      <alignment horizontal="center" vertical="center"/>
    </xf>
    <xf numFmtId="10" fontId="0" fillId="10" borderId="13" xfId="0" applyNumberFormat="1" applyFill="1" applyBorder="1" applyAlignment="1">
      <alignment horizontal="center" vertical="center"/>
    </xf>
    <xf numFmtId="0" fontId="18" fillId="13" borderId="21" xfId="0" applyFont="1" applyFill="1" applyBorder="1" applyAlignment="1">
      <alignment horizontal="center" vertical="center" wrapText="1"/>
    </xf>
    <xf numFmtId="10" fontId="0" fillId="10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0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6" fillId="0" borderId="32" xfId="0" applyFont="1" applyBorder="1" applyAlignment="1">
      <alignment horizontal="center"/>
    </xf>
    <xf numFmtId="0" fontId="16" fillId="11" borderId="13" xfId="0" applyFont="1" applyFill="1" applyBorder="1" applyAlignment="1">
      <alignment horizontal="center"/>
    </xf>
    <xf numFmtId="0" fontId="15" fillId="14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8" fillId="0" borderId="21" xfId="0" applyFont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/>
    </xf>
    <xf numFmtId="0" fontId="21" fillId="15" borderId="2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20" fillId="10" borderId="13" xfId="0" applyNumberFormat="1" applyFont="1" applyFill="1" applyBorder="1" applyAlignment="1" applyProtection="1">
      <alignment horizontal="center" vertical="center" wrapText="1"/>
      <protection locked="0"/>
    </xf>
    <xf numFmtId="10" fontId="20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3" xfId="0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24" fillId="9" borderId="3" xfId="0" applyFont="1" applyFill="1" applyBorder="1" applyAlignment="1">
      <alignment vertical="center"/>
    </xf>
    <xf numFmtId="0" fontId="24" fillId="9" borderId="2" xfId="0" applyFont="1" applyFill="1" applyBorder="1" applyAlignment="1">
      <alignment horizontal="center" vertical="center"/>
    </xf>
    <xf numFmtId="3" fontId="24" fillId="9" borderId="13" xfId="0" applyNumberFormat="1" applyFont="1" applyFill="1" applyBorder="1" applyAlignment="1" applyProtection="1">
      <alignment horizontal="center" vertical="center"/>
      <protection locked="0"/>
    </xf>
    <xf numFmtId="0" fontId="24" fillId="9" borderId="20" xfId="0" applyFont="1" applyFill="1" applyBorder="1" applyAlignment="1">
      <alignment vertical="center" wrapText="1"/>
    </xf>
    <xf numFmtId="3" fontId="24" fillId="10" borderId="21" xfId="0" applyNumberFormat="1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6" fillId="0" borderId="3" xfId="0" applyFont="1" applyBorder="1"/>
    <xf numFmtId="0" fontId="9" fillId="12" borderId="13" xfId="0" applyFont="1" applyFill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 vertical="center" wrapText="1"/>
      <protection locked="0"/>
    </xf>
    <xf numFmtId="0" fontId="20" fillId="10" borderId="36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3" fontId="9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3" fontId="16" fillId="0" borderId="13" xfId="0" applyNumberFormat="1" applyFont="1" applyBorder="1" applyAlignment="1">
      <alignment horizontal="center" vertical="center" wrapText="1"/>
    </xf>
    <xf numFmtId="0" fontId="16" fillId="0" borderId="42" xfId="0" applyFont="1" applyBorder="1" applyAlignment="1" applyProtection="1">
      <alignment vertical="center"/>
      <protection locked="0"/>
    </xf>
    <xf numFmtId="0" fontId="16" fillId="0" borderId="43" xfId="0" applyFont="1" applyBorder="1" applyAlignment="1" applyProtection="1">
      <alignment vertical="center"/>
      <protection locked="0"/>
    </xf>
    <xf numFmtId="0" fontId="16" fillId="0" borderId="4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vertical="center"/>
      <protection locked="0"/>
    </xf>
    <xf numFmtId="0" fontId="15" fillId="10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/>
    </xf>
    <xf numFmtId="3" fontId="20" fillId="10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20" fillId="9" borderId="20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36" xfId="0" applyNumberFormat="1" applyFont="1" applyFill="1" applyBorder="1" applyAlignment="1">
      <alignment horizontal="center" vertical="center" wrapText="1"/>
    </xf>
    <xf numFmtId="3" fontId="20" fillId="10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3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20" fillId="10" borderId="0" xfId="0" applyFont="1" applyFill="1" applyAlignment="1">
      <alignment horizontal="center" vertical="center" wrapText="1"/>
    </xf>
    <xf numFmtId="0" fontId="9" fillId="13" borderId="26" xfId="0" applyFont="1" applyFill="1" applyBorder="1" applyAlignment="1">
      <alignment horizontal="center" vertical="center" wrapText="1"/>
    </xf>
    <xf numFmtId="0" fontId="20" fillId="10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20" fillId="11" borderId="4" xfId="0" applyFont="1" applyFill="1" applyBorder="1" applyAlignment="1">
      <alignment horizontal="center" vertical="center" wrapText="1"/>
    </xf>
    <xf numFmtId="10" fontId="20" fillId="10" borderId="4" xfId="2" applyNumberFormat="1" applyFont="1" applyFill="1" applyBorder="1" applyAlignment="1">
      <alignment horizontal="center" vertical="center" wrapText="1"/>
    </xf>
    <xf numFmtId="3" fontId="20" fillId="11" borderId="4" xfId="0" applyNumberFormat="1" applyFont="1" applyFill="1" applyBorder="1" applyAlignment="1">
      <alignment horizontal="center" vertical="center" wrapText="1"/>
    </xf>
    <xf numFmtId="3" fontId="9" fillId="11" borderId="4" xfId="0" applyNumberFormat="1" applyFont="1" applyFill="1" applyBorder="1" applyAlignment="1">
      <alignment horizontal="center" vertical="center" wrapText="1"/>
    </xf>
    <xf numFmtId="10" fontId="20" fillId="11" borderId="19" xfId="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11" borderId="23" xfId="0" applyFont="1" applyFill="1" applyBorder="1" applyAlignment="1">
      <alignment horizontal="center" vertical="center" wrapText="1"/>
    </xf>
    <xf numFmtId="3" fontId="20" fillId="11" borderId="23" xfId="0" applyNumberFormat="1" applyFont="1" applyFill="1" applyBorder="1" applyAlignment="1">
      <alignment horizontal="center" vertical="center" wrapText="1"/>
    </xf>
    <xf numFmtId="10" fontId="20" fillId="11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6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center" vertical="center" wrapText="1"/>
    </xf>
    <xf numFmtId="0" fontId="20" fillId="15" borderId="36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20" xfId="0" applyFont="1" applyBorder="1"/>
    <xf numFmtId="0" fontId="16" fillId="0" borderId="36" xfId="0" applyFont="1" applyBorder="1"/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0" fillId="0" borderId="10" xfId="0" applyFont="1" applyBorder="1" applyProtection="1">
      <protection locked="0"/>
    </xf>
    <xf numFmtId="0" fontId="30" fillId="0" borderId="11" xfId="0" applyFont="1" applyBorder="1" applyProtection="1">
      <protection locked="0"/>
    </xf>
    <xf numFmtId="0" fontId="31" fillId="0" borderId="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vertical="center" wrapText="1"/>
      <protection locked="0"/>
    </xf>
    <xf numFmtId="0" fontId="30" fillId="0" borderId="3" xfId="0" applyFont="1" applyBorder="1"/>
    <xf numFmtId="0" fontId="32" fillId="0" borderId="0" xfId="0" applyFont="1"/>
    <xf numFmtId="0" fontId="30" fillId="0" borderId="0" xfId="0" applyFont="1"/>
    <xf numFmtId="0" fontId="30" fillId="0" borderId="3" xfId="0" applyFont="1" applyBorder="1" applyAlignment="1">
      <alignment wrapText="1"/>
    </xf>
    <xf numFmtId="0" fontId="30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0" fillId="0" borderId="3" xfId="0" applyFont="1" applyBorder="1" applyProtection="1">
      <protection locked="0"/>
    </xf>
    <xf numFmtId="0" fontId="35" fillId="0" borderId="3" xfId="0" applyFont="1" applyBorder="1" applyProtection="1">
      <protection locked="0"/>
    </xf>
    <xf numFmtId="0" fontId="30" fillId="0" borderId="20" xfId="0" applyFont="1" applyBorder="1" applyProtection="1">
      <protection locked="0"/>
    </xf>
    <xf numFmtId="0" fontId="30" fillId="0" borderId="36" xfId="0" applyFont="1" applyBorder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3" fontId="35" fillId="0" borderId="0" xfId="0" applyNumberFormat="1" applyFont="1" applyAlignment="1" applyProtection="1">
      <alignment vertical="center" wrapText="1"/>
      <protection locked="0"/>
    </xf>
    <xf numFmtId="0" fontId="30" fillId="0" borderId="12" xfId="0" applyFont="1" applyBorder="1" applyProtection="1"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Protection="1">
      <protection locked="0"/>
    </xf>
    <xf numFmtId="0" fontId="30" fillId="0" borderId="13" xfId="0" applyFont="1" applyBorder="1"/>
    <xf numFmtId="0" fontId="30" fillId="0" borderId="13" xfId="0" applyFont="1" applyBorder="1" applyAlignment="1">
      <alignment wrapText="1"/>
    </xf>
    <xf numFmtId="0" fontId="30" fillId="0" borderId="0" xfId="0" applyFont="1" applyAlignment="1" applyProtection="1">
      <alignment wrapText="1"/>
      <protection locked="0"/>
    </xf>
    <xf numFmtId="0" fontId="30" fillId="0" borderId="13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2" fontId="15" fillId="12" borderId="0" xfId="0" applyNumberFormat="1" applyFont="1" applyFill="1" applyAlignment="1">
      <alignment horizontal="center" vertical="center"/>
    </xf>
    <xf numFmtId="0" fontId="0" fillId="0" borderId="4" xfId="0" applyBorder="1"/>
    <xf numFmtId="0" fontId="42" fillId="9" borderId="4" xfId="0" applyFont="1" applyFill="1" applyBorder="1" applyAlignment="1" applyProtection="1">
      <alignment horizontal="center" vertical="center"/>
      <protection locked="0"/>
    </xf>
    <xf numFmtId="166" fontId="42" fillId="9" borderId="4" xfId="0" applyNumberFormat="1" applyFont="1" applyFill="1" applyBorder="1" applyAlignment="1" applyProtection="1">
      <alignment horizontal="center" vertical="center"/>
      <protection locked="0"/>
    </xf>
    <xf numFmtId="0" fontId="42" fillId="0" borderId="4" xfId="0" applyFont="1" applyBorder="1" applyAlignment="1" applyProtection="1">
      <alignment horizontal="center"/>
      <protection locked="0"/>
    </xf>
    <xf numFmtId="166" fontId="42" fillId="0" borderId="4" xfId="6" applyNumberFormat="1" applyFont="1" applyBorder="1" applyAlignment="1" applyProtection="1">
      <alignment horizontal="center"/>
      <protection locked="0"/>
    </xf>
    <xf numFmtId="0" fontId="15" fillId="11" borderId="36" xfId="0" applyFont="1" applyFill="1" applyBorder="1" applyAlignment="1">
      <alignment horizontal="center" vertical="center"/>
    </xf>
    <xf numFmtId="2" fontId="15" fillId="11" borderId="36" xfId="0" applyNumberFormat="1" applyFont="1" applyFill="1" applyBorder="1" applyAlignment="1">
      <alignment horizontal="center" vertical="center"/>
    </xf>
    <xf numFmtId="10" fontId="15" fillId="11" borderId="21" xfId="4" applyNumberFormat="1" applyFont="1" applyFill="1" applyBorder="1" applyAlignment="1">
      <alignment horizontal="center" vertical="center"/>
    </xf>
    <xf numFmtId="0" fontId="0" fillId="0" borderId="10" xfId="0" applyBorder="1"/>
    <xf numFmtId="0" fontId="9" fillId="0" borderId="11" xfId="0" applyFont="1" applyBorder="1" applyAlignment="1" applyProtection="1">
      <alignment vertical="center"/>
      <protection locked="0"/>
    </xf>
    <xf numFmtId="0" fontId="0" fillId="0" borderId="12" xfId="0" applyBorder="1"/>
    <xf numFmtId="0" fontId="0" fillId="0" borderId="13" xfId="0" applyBorder="1"/>
    <xf numFmtId="0" fontId="0" fillId="0" borderId="20" xfId="0" applyBorder="1"/>
    <xf numFmtId="0" fontId="0" fillId="0" borderId="21" xfId="0" applyBorder="1"/>
    <xf numFmtId="2" fontId="9" fillId="11" borderId="4" xfId="0" applyNumberFormat="1" applyFont="1" applyFill="1" applyBorder="1" applyAlignment="1">
      <alignment horizontal="center" vertical="center" wrapText="1"/>
    </xf>
    <xf numFmtId="2" fontId="20" fillId="11" borderId="23" xfId="0" applyNumberFormat="1" applyFont="1" applyFill="1" applyBorder="1" applyAlignment="1">
      <alignment horizontal="center" vertical="center" wrapText="1"/>
    </xf>
    <xf numFmtId="0" fontId="30" fillId="0" borderId="3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13" xfId="0" applyFont="1" applyBorder="1" applyAlignment="1" applyProtection="1">
      <alignment horizontal="center"/>
      <protection locked="0"/>
    </xf>
    <xf numFmtId="0" fontId="33" fillId="0" borderId="0" xfId="0" applyFont="1" applyAlignment="1">
      <alignment horizontal="center" vertical="center" wrapText="1"/>
    </xf>
    <xf numFmtId="0" fontId="32" fillId="0" borderId="3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30" fillId="0" borderId="25" xfId="0" applyFont="1" applyBorder="1" applyAlignment="1">
      <alignment horizontal="center"/>
    </xf>
    <xf numFmtId="49" fontId="30" fillId="0" borderId="25" xfId="0" applyNumberFormat="1" applyFont="1" applyBorder="1" applyAlignment="1">
      <alignment horizontal="center"/>
    </xf>
    <xf numFmtId="0" fontId="34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9" fillId="0" borderId="18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0" fillId="15" borderId="5" xfId="0" applyFont="1" applyFill="1" applyBorder="1" applyAlignment="1">
      <alignment horizontal="center" vertical="center" wrapText="1"/>
    </xf>
    <xf numFmtId="0" fontId="20" fillId="15" borderId="7" xfId="0" applyFont="1" applyFill="1" applyBorder="1" applyAlignment="1">
      <alignment horizontal="center" vertical="center" wrapText="1"/>
    </xf>
    <xf numFmtId="0" fontId="28" fillId="6" borderId="18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9" fillId="0" borderId="1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0" xfId="0" applyFont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3" fontId="9" fillId="9" borderId="3" xfId="0" applyNumberFormat="1" applyFont="1" applyFill="1" applyBorder="1" applyAlignment="1" applyProtection="1">
      <alignment horizontal="left" vertical="center" wrapText="1"/>
      <protection locked="0"/>
    </xf>
    <xf numFmtId="3" fontId="9" fillId="9" borderId="0" xfId="0" applyNumberFormat="1" applyFont="1" applyFill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9" fillId="9" borderId="0" xfId="0" applyFont="1" applyFill="1" applyAlignment="1">
      <alignment horizontal="center" vertical="top" wrapText="1"/>
    </xf>
    <xf numFmtId="0" fontId="9" fillId="9" borderId="36" xfId="0" applyFont="1" applyFill="1" applyBorder="1" applyAlignment="1">
      <alignment horizontal="center" vertical="top" wrapText="1"/>
    </xf>
    <xf numFmtId="0" fontId="18" fillId="9" borderId="3" xfId="0" applyFont="1" applyFill="1" applyBorder="1" applyAlignment="1" applyProtection="1">
      <alignment horizontal="center" vertical="center" wrapText="1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0" fontId="18" fillId="9" borderId="20" xfId="0" applyFont="1" applyFill="1" applyBorder="1" applyAlignment="1" applyProtection="1">
      <alignment horizontal="center" vertical="center" wrapText="1"/>
      <protection locked="0"/>
    </xf>
    <xf numFmtId="0" fontId="18" fillId="9" borderId="36" xfId="0" applyFont="1" applyFill="1" applyBorder="1" applyAlignment="1" applyProtection="1">
      <alignment horizontal="center" vertical="center" wrapText="1"/>
      <protection locked="0"/>
    </xf>
    <xf numFmtId="3" fontId="20" fillId="9" borderId="20" xfId="0" applyNumberFormat="1" applyFont="1" applyFill="1" applyBorder="1" applyAlignment="1" applyProtection="1">
      <alignment horizontal="left" vertical="center" wrapText="1"/>
      <protection locked="0"/>
    </xf>
    <xf numFmtId="3" fontId="20" fillId="9" borderId="36" xfId="0" applyNumberFormat="1" applyFont="1" applyFill="1" applyBorder="1" applyAlignment="1" applyProtection="1">
      <alignment horizontal="left" vertical="center" wrapText="1"/>
      <protection locked="0"/>
    </xf>
    <xf numFmtId="0" fontId="20" fillId="9" borderId="1" xfId="0" applyFont="1" applyFill="1" applyBorder="1" applyAlignment="1" applyProtection="1">
      <alignment horizontal="center" vertical="center" wrapText="1"/>
      <protection locked="0"/>
    </xf>
    <xf numFmtId="0" fontId="20" fillId="9" borderId="26" xfId="0" applyFont="1" applyFill="1" applyBorder="1" applyAlignment="1" applyProtection="1">
      <alignment horizontal="center" vertical="center" wrapText="1"/>
      <protection locked="0"/>
    </xf>
    <xf numFmtId="0" fontId="20" fillId="9" borderId="2" xfId="0" applyFont="1" applyFill="1" applyBorder="1" applyAlignment="1" applyProtection="1">
      <alignment horizontal="center" vertical="center" wrapText="1"/>
      <protection locked="0"/>
    </xf>
    <xf numFmtId="0" fontId="9" fillId="9" borderId="13" xfId="0" applyFont="1" applyFill="1" applyBorder="1" applyAlignment="1">
      <alignment horizontal="center" vertical="top" wrapText="1"/>
    </xf>
    <xf numFmtId="0" fontId="9" fillId="9" borderId="21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0" fontId="23" fillId="9" borderId="1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21" fillId="0" borderId="20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18" fillId="0" borderId="3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10" borderId="35" xfId="0" applyNumberFormat="1" applyFill="1" applyBorder="1" applyAlignment="1">
      <alignment horizontal="center" vertical="center"/>
    </xf>
    <xf numFmtId="10" fontId="0" fillId="10" borderId="41" xfId="0" applyNumberForma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justify" vertical="top" wrapText="1"/>
      <protection locked="0"/>
    </xf>
    <xf numFmtId="0" fontId="15" fillId="9" borderId="1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9" fontId="0" fillId="10" borderId="32" xfId="2" applyFont="1" applyFill="1" applyBorder="1" applyAlignment="1">
      <alignment horizontal="center" vertical="center" wrapText="1"/>
    </xf>
    <xf numFmtId="9" fontId="0" fillId="10" borderId="40" xfId="2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10" borderId="36" xfId="0" applyNumberFormat="1" applyFont="1" applyFill="1" applyBorder="1" applyAlignment="1">
      <alignment horizontal="center" vertical="center"/>
    </xf>
    <xf numFmtId="3" fontId="7" fillId="10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4" fillId="0" borderId="25" xfId="0" applyNumberFormat="1" applyFont="1" applyBorder="1" applyAlignment="1" applyProtection="1">
      <alignment horizontal="left" vertical="center"/>
      <protection locked="0"/>
    </xf>
    <xf numFmtId="0" fontId="14" fillId="0" borderId="25" xfId="0" applyFont="1" applyBorder="1" applyAlignment="1" applyProtection="1">
      <alignment horizontal="left" vertical="center"/>
      <protection locked="0"/>
    </xf>
    <xf numFmtId="164" fontId="14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4" fillId="0" borderId="25" xfId="0" applyNumberFormat="1" applyFont="1" applyBorder="1" applyAlignment="1" applyProtection="1">
      <alignment horizontal="left" vertical="center" wrapText="1"/>
      <protection locked="0"/>
    </xf>
    <xf numFmtId="0" fontId="14" fillId="0" borderId="25" xfId="0" applyFont="1" applyBorder="1" applyAlignment="1" applyProtection="1">
      <alignment horizontal="left" vertical="center" wrapText="1"/>
      <protection locked="0"/>
    </xf>
    <xf numFmtId="164" fontId="14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</cellXfs>
  <cellStyles count="7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Vírgula" xfId="1" builtinId="3"/>
    <cellStyle name="Vírgula 3" xfId="6" xr:uid="{00000000-0005-0000-0000-000006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O28" sqref="O28"/>
    </sheetView>
  </sheetViews>
  <sheetFormatPr defaultColWidth="9.140625" defaultRowHeight="26.25"/>
  <cols>
    <col min="1" max="10" width="16.42578125" style="379" customWidth="1"/>
    <col min="11" max="11" width="20.28515625" style="379" customWidth="1"/>
    <col min="12" max="12" width="16.42578125" style="379" customWidth="1"/>
    <col min="13" max="13" width="17.5703125" style="379" customWidth="1"/>
    <col min="14" max="16384" width="9.140625" style="379"/>
  </cols>
  <sheetData>
    <row r="1" spans="1:17">
      <c r="A1" s="380"/>
      <c r="B1" s="381"/>
      <c r="C1" s="381"/>
      <c r="D1" s="381"/>
      <c r="E1" s="381"/>
      <c r="F1" s="381"/>
      <c r="G1" s="381"/>
      <c r="H1" s="381"/>
      <c r="I1" s="381"/>
      <c r="J1" s="381"/>
      <c r="K1" s="397"/>
    </row>
    <row r="2" spans="1:17" ht="22.5" customHeight="1">
      <c r="A2" s="382"/>
      <c r="B2" s="383"/>
      <c r="C2" s="383"/>
      <c r="D2" s="383"/>
      <c r="E2" s="383"/>
      <c r="F2" s="383"/>
      <c r="G2" s="383"/>
      <c r="H2" s="383"/>
      <c r="I2" s="383"/>
      <c r="J2" s="383"/>
      <c r="K2" s="398"/>
      <c r="L2" s="383"/>
      <c r="M2" s="383"/>
      <c r="N2" s="383"/>
      <c r="O2" s="399"/>
      <c r="P2" s="400"/>
      <c r="Q2" s="400"/>
    </row>
    <row r="3" spans="1:17" ht="31.5">
      <c r="A3" s="427" t="s">
        <v>0</v>
      </c>
      <c r="B3" s="428"/>
      <c r="C3" s="428"/>
      <c r="D3" s="429" t="s">
        <v>1</v>
      </c>
      <c r="E3" s="429"/>
      <c r="F3" s="429"/>
      <c r="G3" s="429"/>
      <c r="H3" s="429"/>
      <c r="I3" s="429"/>
      <c r="J3" s="429"/>
      <c r="K3" s="401"/>
    </row>
    <row r="4" spans="1:17" ht="22.5" customHeight="1">
      <c r="A4" s="384"/>
      <c r="B4" s="385"/>
      <c r="C4" s="385"/>
      <c r="D4" s="385"/>
      <c r="E4" s="385"/>
      <c r="F4" s="385"/>
      <c r="G4" s="385"/>
      <c r="H4" s="385"/>
      <c r="I4" s="385"/>
      <c r="J4" s="385"/>
      <c r="K4" s="401"/>
    </row>
    <row r="5" spans="1:17" ht="31.5">
      <c r="A5" s="427" t="s">
        <v>2</v>
      </c>
      <c r="B5" s="428"/>
      <c r="C5" s="428"/>
      <c r="D5" s="430" t="s">
        <v>3</v>
      </c>
      <c r="E5" s="429"/>
      <c r="F5" s="429"/>
      <c r="G5" s="429"/>
      <c r="H5" s="429"/>
      <c r="I5" s="429"/>
      <c r="J5" s="429"/>
      <c r="K5" s="401"/>
    </row>
    <row r="6" spans="1:17" ht="22.5" customHeight="1">
      <c r="A6" s="384"/>
      <c r="B6" s="386"/>
      <c r="C6" s="386"/>
      <c r="D6" s="386"/>
      <c r="E6" s="386"/>
      <c r="F6" s="386"/>
      <c r="G6" s="386"/>
      <c r="H6" s="386"/>
      <c r="I6" s="386"/>
      <c r="J6" s="386"/>
      <c r="K6" s="401"/>
    </row>
    <row r="7" spans="1:17" ht="22.5" customHeight="1">
      <c r="A7" s="384"/>
      <c r="B7" s="386"/>
      <c r="C7" s="386"/>
      <c r="D7" s="386"/>
      <c r="E7" s="386"/>
      <c r="F7" s="386"/>
      <c r="G7" s="386"/>
      <c r="H7" s="386"/>
      <c r="I7" s="386"/>
      <c r="J7" s="386"/>
      <c r="K7" s="401"/>
    </row>
    <row r="8" spans="1:17" ht="22.5" customHeight="1">
      <c r="A8" s="387"/>
      <c r="B8" s="388"/>
      <c r="C8" s="388"/>
      <c r="D8" s="388"/>
      <c r="E8" s="388"/>
      <c r="F8" s="388"/>
      <c r="G8" s="388"/>
      <c r="H8" s="388"/>
      <c r="I8" s="388"/>
      <c r="J8" s="388"/>
      <c r="K8" s="402"/>
      <c r="L8" s="403"/>
      <c r="M8" s="403"/>
      <c r="N8" s="403"/>
      <c r="O8" s="403"/>
      <c r="P8" s="403"/>
      <c r="Q8" s="403"/>
    </row>
    <row r="9" spans="1:17" ht="22.5" customHeight="1">
      <c r="A9" s="384"/>
      <c r="B9" s="386"/>
      <c r="C9" s="386"/>
      <c r="D9" s="386"/>
      <c r="E9" s="386"/>
      <c r="F9" s="386"/>
      <c r="G9" s="386"/>
      <c r="H9" s="386"/>
      <c r="I9" s="386"/>
      <c r="J9" s="386"/>
      <c r="K9" s="401"/>
    </row>
    <row r="10" spans="1:17" ht="22.5" customHeight="1">
      <c r="A10" s="384"/>
      <c r="B10" s="386"/>
      <c r="C10" s="386"/>
      <c r="D10" s="386"/>
      <c r="E10" s="386"/>
      <c r="F10" s="386"/>
      <c r="G10" s="386"/>
      <c r="H10" s="386"/>
      <c r="I10" s="386"/>
      <c r="J10" s="386"/>
      <c r="K10" s="401"/>
    </row>
    <row r="11" spans="1:17" ht="22.5" customHeight="1">
      <c r="A11" s="384"/>
      <c r="B11" s="386"/>
      <c r="C11" s="386"/>
      <c r="D11" s="386"/>
      <c r="E11" s="386"/>
      <c r="F11" s="386"/>
      <c r="G11" s="386"/>
      <c r="H11" s="386"/>
      <c r="I11" s="386"/>
      <c r="J11" s="386"/>
      <c r="K11" s="401"/>
    </row>
    <row r="12" spans="1:17" ht="22.5" customHeight="1">
      <c r="A12" s="384"/>
      <c r="B12" s="386"/>
      <c r="C12" s="386"/>
      <c r="D12" s="386"/>
      <c r="E12" s="386"/>
      <c r="F12" s="386"/>
      <c r="G12" s="386"/>
      <c r="H12" s="386"/>
      <c r="I12" s="386"/>
      <c r="J12" s="386"/>
      <c r="K12" s="401"/>
    </row>
    <row r="13" spans="1:17" ht="22.5" customHeight="1">
      <c r="A13" s="384"/>
      <c r="B13" s="426" t="s">
        <v>4</v>
      </c>
      <c r="C13" s="426"/>
      <c r="D13" s="426"/>
      <c r="E13" s="426"/>
      <c r="F13" s="426"/>
      <c r="G13" s="426"/>
      <c r="H13" s="426"/>
      <c r="I13" s="426"/>
      <c r="J13" s="426"/>
      <c r="K13" s="401"/>
    </row>
    <row r="14" spans="1:17" ht="22.5" customHeight="1">
      <c r="A14" s="384"/>
      <c r="B14" s="426"/>
      <c r="C14" s="426"/>
      <c r="D14" s="426"/>
      <c r="E14" s="426"/>
      <c r="F14" s="426"/>
      <c r="G14" s="426"/>
      <c r="H14" s="426"/>
      <c r="I14" s="426"/>
      <c r="J14" s="426"/>
      <c r="K14" s="401"/>
    </row>
    <row r="15" spans="1:17" ht="22.5" customHeight="1">
      <c r="A15" s="384"/>
      <c r="B15" s="426"/>
      <c r="C15" s="426"/>
      <c r="D15" s="426"/>
      <c r="E15" s="426"/>
      <c r="F15" s="426"/>
      <c r="G15" s="426"/>
      <c r="H15" s="426"/>
      <c r="I15" s="426"/>
      <c r="J15" s="426"/>
      <c r="K15" s="401"/>
    </row>
    <row r="16" spans="1:17" ht="22.5" customHeight="1">
      <c r="A16" s="384"/>
      <c r="B16" s="426"/>
      <c r="C16" s="426"/>
      <c r="D16" s="426"/>
      <c r="E16" s="426"/>
      <c r="F16" s="426"/>
      <c r="G16" s="426"/>
      <c r="H16" s="426"/>
      <c r="I16" s="426"/>
      <c r="J16" s="426"/>
      <c r="K16" s="401"/>
    </row>
    <row r="17" spans="1:11" ht="22.5" customHeight="1">
      <c r="A17" s="384"/>
      <c r="B17" s="426"/>
      <c r="C17" s="426"/>
      <c r="D17" s="426"/>
      <c r="E17" s="426"/>
      <c r="F17" s="426"/>
      <c r="G17" s="426"/>
      <c r="H17" s="426"/>
      <c r="I17" s="426"/>
      <c r="J17" s="426"/>
      <c r="K17" s="401"/>
    </row>
    <row r="18" spans="1:11" ht="22.5" customHeight="1">
      <c r="A18" s="384"/>
      <c r="B18" s="389"/>
      <c r="C18" s="389"/>
      <c r="D18" s="389"/>
      <c r="E18" s="389"/>
      <c r="F18" s="389"/>
      <c r="G18" s="389"/>
      <c r="H18" s="389"/>
      <c r="I18" s="389"/>
      <c r="J18" s="389"/>
      <c r="K18" s="401"/>
    </row>
    <row r="19" spans="1:11" ht="22.5" customHeight="1">
      <c r="A19" s="384"/>
      <c r="B19" s="389"/>
      <c r="C19" s="389"/>
      <c r="D19" s="389"/>
      <c r="E19" s="389"/>
      <c r="F19" s="389"/>
      <c r="G19" s="389"/>
      <c r="H19" s="389"/>
      <c r="I19" s="389"/>
      <c r="J19" s="389"/>
      <c r="K19" s="401"/>
    </row>
    <row r="20" spans="1:11" ht="22.5" customHeight="1">
      <c r="A20" s="390"/>
      <c r="K20" s="404"/>
    </row>
    <row r="21" spans="1:11">
      <c r="A21" s="431" t="s">
        <v>496</v>
      </c>
      <c r="B21" s="432"/>
      <c r="C21" s="432"/>
      <c r="D21" s="432"/>
      <c r="E21" s="432"/>
      <c r="F21" s="432"/>
      <c r="G21" s="432"/>
      <c r="H21" s="432"/>
      <c r="I21" s="432"/>
      <c r="J21" s="432"/>
      <c r="K21" s="433"/>
    </row>
    <row r="22" spans="1:11" ht="22.5" customHeight="1">
      <c r="A22" s="390"/>
      <c r="K22" s="404"/>
    </row>
    <row r="23" spans="1:11" ht="22.5" customHeight="1">
      <c r="A23" s="390"/>
      <c r="K23" s="404"/>
    </row>
    <row r="24" spans="1:11" ht="22.5" customHeight="1">
      <c r="A24" s="390"/>
      <c r="K24" s="404"/>
    </row>
    <row r="25" spans="1:11" ht="22.5" customHeight="1">
      <c r="A25" s="390"/>
      <c r="K25" s="404"/>
    </row>
    <row r="26" spans="1:11" ht="22.5" customHeight="1">
      <c r="A26" s="391"/>
      <c r="K26" s="404"/>
    </row>
    <row r="27" spans="1:11" ht="22.5" customHeight="1">
      <c r="A27" s="390"/>
      <c r="K27" s="404"/>
    </row>
    <row r="28" spans="1:11" ht="22.5" customHeight="1">
      <c r="A28" s="390"/>
      <c r="K28" s="404"/>
    </row>
    <row r="29" spans="1:11">
      <c r="A29" s="423" t="s">
        <v>497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5"/>
    </row>
    <row r="30" spans="1:11" ht="22.5" customHeight="1">
      <c r="A30" s="392"/>
      <c r="B30" s="393"/>
      <c r="C30" s="393"/>
      <c r="D30" s="393"/>
      <c r="E30" s="393"/>
      <c r="F30" s="393"/>
      <c r="G30" s="393"/>
      <c r="H30" s="393"/>
      <c r="I30" s="393"/>
      <c r="J30" s="393"/>
      <c r="K30" s="405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78" customFormat="1" ht="22.5" customHeight="1"/>
    <row r="45" spans="1:1" ht="22.5" customHeight="1">
      <c r="A45" s="394"/>
    </row>
    <row r="46" spans="1:1" ht="22.5" customHeight="1">
      <c r="A46" s="395"/>
    </row>
    <row r="47" spans="1:1" ht="22.5" customHeight="1">
      <c r="A47" s="396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zoomScaleNormal="100" zoomScaleSheetLayoutView="90" workbookViewId="0">
      <selection activeCell="O28" sqref="O28"/>
    </sheetView>
  </sheetViews>
  <sheetFormatPr defaultColWidth="9.140625" defaultRowHeight="15"/>
  <cols>
    <col min="1" max="1" width="28.42578125" style="363" customWidth="1"/>
    <col min="2" max="5" width="15.42578125" style="363" customWidth="1"/>
    <col min="6" max="16384" width="9.140625" style="363"/>
  </cols>
  <sheetData>
    <row r="1" spans="1:6" ht="21.95" customHeight="1">
      <c r="A1" s="442" t="s">
        <v>5</v>
      </c>
      <c r="B1" s="443"/>
      <c r="C1" s="443"/>
      <c r="D1" s="443"/>
      <c r="E1" s="443"/>
      <c r="F1" s="443"/>
    </row>
    <row r="2" spans="1:6">
      <c r="A2" s="249"/>
      <c r="B2" s="246"/>
      <c r="C2" s="246"/>
      <c r="D2" s="246"/>
      <c r="E2" s="246"/>
      <c r="F2" s="246"/>
    </row>
    <row r="3" spans="1:6">
      <c r="A3" s="250" t="s">
        <v>6</v>
      </c>
      <c r="B3" s="308" t="s">
        <v>3</v>
      </c>
      <c r="C3" s="308"/>
      <c r="D3" s="308"/>
      <c r="E3" s="309"/>
      <c r="F3" s="309"/>
    </row>
    <row r="4" spans="1:6">
      <c r="A4" s="250" t="s">
        <v>7</v>
      </c>
      <c r="B4" s="334">
        <v>45870</v>
      </c>
      <c r="C4" s="309"/>
      <c r="D4" s="309"/>
      <c r="E4" s="309"/>
      <c r="F4" s="309"/>
    </row>
    <row r="5" spans="1:6">
      <c r="A5" s="284"/>
      <c r="C5" s="246"/>
      <c r="D5" s="246"/>
      <c r="E5" s="246"/>
      <c r="F5" s="246"/>
    </row>
    <row r="6" spans="1:6">
      <c r="A6" s="444" t="s">
        <v>8</v>
      </c>
      <c r="B6" s="445"/>
      <c r="C6" s="445"/>
      <c r="D6" s="445"/>
      <c r="E6" s="446"/>
    </row>
    <row r="7" spans="1:6" ht="27" customHeight="1">
      <c r="A7" s="364" t="s">
        <v>9</v>
      </c>
      <c r="B7" s="365" t="s">
        <v>10</v>
      </c>
      <c r="C7" s="365" t="s">
        <v>11</v>
      </c>
      <c r="D7" s="365" t="s">
        <v>12</v>
      </c>
      <c r="E7" s="366" t="s">
        <v>13</v>
      </c>
    </row>
    <row r="8" spans="1:6" ht="21" customHeight="1">
      <c r="A8" s="367" t="str">
        <f>Assistencial!A8</f>
        <v>1. Clínica Cirúrgica</v>
      </c>
      <c r="B8" s="265">
        <v>35</v>
      </c>
      <c r="C8" s="265">
        <v>0</v>
      </c>
      <c r="D8" s="265">
        <v>0</v>
      </c>
      <c r="E8" s="368">
        <v>0</v>
      </c>
    </row>
    <row r="9" spans="1:6" ht="21" customHeight="1">
      <c r="A9" s="367" t="str">
        <f>Assistencial!A9</f>
        <v>2. Clínica Médica</v>
      </c>
      <c r="B9" s="265">
        <v>34</v>
      </c>
      <c r="C9" s="265">
        <v>0</v>
      </c>
      <c r="D9" s="265">
        <v>0</v>
      </c>
      <c r="E9" s="368">
        <v>0</v>
      </c>
    </row>
    <row r="10" spans="1:6" ht="21" customHeight="1">
      <c r="A10" s="367" t="str">
        <f>Assistencial!A10</f>
        <v>3. Oncologia Clínica</v>
      </c>
      <c r="B10" s="265">
        <v>0</v>
      </c>
      <c r="C10" s="265">
        <v>0</v>
      </c>
      <c r="D10" s="265">
        <v>0</v>
      </c>
      <c r="E10" s="368">
        <v>0</v>
      </c>
    </row>
    <row r="11" spans="1:6" ht="21" customHeight="1">
      <c r="A11" s="367" t="str">
        <f>Assistencial!A11</f>
        <v>4. Oncologia Cirúrgica</v>
      </c>
      <c r="B11" s="265">
        <v>0</v>
      </c>
      <c r="C11" s="265">
        <v>0</v>
      </c>
      <c r="D11" s="265">
        <v>0</v>
      </c>
      <c r="E11" s="368">
        <v>0</v>
      </c>
    </row>
    <row r="12" spans="1:6" ht="21" customHeight="1">
      <c r="A12" s="367" t="str">
        <f>Assistencial!A12</f>
        <v>5. Clínica Gineco/Obstétrica</v>
      </c>
      <c r="B12" s="265">
        <v>7</v>
      </c>
      <c r="C12" s="265">
        <v>0</v>
      </c>
      <c r="D12" s="265">
        <v>0</v>
      </c>
      <c r="E12" s="368">
        <v>0</v>
      </c>
    </row>
    <row r="13" spans="1:6" ht="21" customHeight="1">
      <c r="A13" s="367" t="str">
        <f>Assistencial!A13</f>
        <v>6. Clínica Pediátrica</v>
      </c>
      <c r="B13" s="247">
        <v>6</v>
      </c>
      <c r="C13" s="247">
        <v>0</v>
      </c>
      <c r="D13" s="247">
        <v>0</v>
      </c>
      <c r="E13" s="272">
        <v>0</v>
      </c>
    </row>
    <row r="14" spans="1:6">
      <c r="A14" s="367" t="str">
        <f>Assistencial!A14</f>
        <v>7. UTI Adulto</v>
      </c>
      <c r="B14" s="247">
        <v>10</v>
      </c>
      <c r="C14" s="247">
        <v>0</v>
      </c>
      <c r="D14" s="247">
        <v>0</v>
      </c>
      <c r="E14" s="272">
        <v>0</v>
      </c>
    </row>
    <row r="15" spans="1:6">
      <c r="A15" s="369" t="s">
        <v>14</v>
      </c>
      <c r="B15" s="370">
        <f>SUM(B8:B14)</f>
        <v>92</v>
      </c>
      <c r="C15" s="370">
        <f>SUM(C8:C14)</f>
        <v>0</v>
      </c>
      <c r="D15" s="370">
        <f>SUM(D8:D14)</f>
        <v>0</v>
      </c>
      <c r="E15" s="370">
        <f>SUM(E8:E14)</f>
        <v>0</v>
      </c>
    </row>
    <row r="16" spans="1:6">
      <c r="A16" s="284"/>
    </row>
    <row r="17" spans="1:3">
      <c r="A17" s="284"/>
    </row>
    <row r="18" spans="1:3">
      <c r="A18" s="447" t="s">
        <v>15</v>
      </c>
      <c r="B18" s="448"/>
      <c r="C18" s="449"/>
    </row>
    <row r="19" spans="1:3">
      <c r="A19" s="438" t="s">
        <v>16</v>
      </c>
      <c r="B19" s="439"/>
      <c r="C19" s="371"/>
    </row>
    <row r="20" spans="1:3">
      <c r="A20" s="440" t="s">
        <v>17</v>
      </c>
      <c r="B20" s="441"/>
      <c r="C20" s="372">
        <v>10</v>
      </c>
    </row>
    <row r="21" spans="1:3">
      <c r="A21" s="438" t="s">
        <v>18</v>
      </c>
      <c r="B21" s="439"/>
      <c r="C21" s="371"/>
    </row>
    <row r="22" spans="1:3">
      <c r="A22" s="440" t="s">
        <v>19</v>
      </c>
      <c r="B22" s="441"/>
      <c r="C22" s="372">
        <v>1</v>
      </c>
    </row>
    <row r="23" spans="1:3">
      <c r="A23" s="434" t="s">
        <v>20</v>
      </c>
      <c r="B23" s="435"/>
      <c r="C23" s="372">
        <v>17</v>
      </c>
    </row>
    <row r="24" spans="1:3">
      <c r="A24" s="434" t="s">
        <v>21</v>
      </c>
      <c r="B24" s="435"/>
      <c r="C24" s="372">
        <v>1</v>
      </c>
    </row>
    <row r="25" spans="1:3">
      <c r="A25" s="434" t="s">
        <v>22</v>
      </c>
      <c r="B25" s="435"/>
      <c r="C25" s="372">
        <v>2</v>
      </c>
    </row>
    <row r="26" spans="1:3">
      <c r="A26" s="434" t="s">
        <v>23</v>
      </c>
      <c r="B26" s="435"/>
      <c r="C26" s="372">
        <v>2</v>
      </c>
    </row>
    <row r="27" spans="1:3">
      <c r="A27" s="434" t="s">
        <v>24</v>
      </c>
      <c r="B27" s="435"/>
      <c r="C27" s="372">
        <v>1</v>
      </c>
    </row>
    <row r="28" spans="1:3">
      <c r="A28" s="434" t="s">
        <v>25</v>
      </c>
      <c r="B28" s="435"/>
      <c r="C28" s="372">
        <v>10</v>
      </c>
    </row>
    <row r="29" spans="1:3">
      <c r="A29" s="434" t="s">
        <v>26</v>
      </c>
      <c r="B29" s="435"/>
      <c r="C29" s="372">
        <v>1</v>
      </c>
    </row>
    <row r="30" spans="1:3">
      <c r="A30" s="438"/>
      <c r="B30" s="439"/>
      <c r="C30" s="371"/>
    </row>
    <row r="31" spans="1:3">
      <c r="A31" s="434" t="s">
        <v>27</v>
      </c>
      <c r="B31" s="435"/>
      <c r="C31" s="372">
        <v>2</v>
      </c>
    </row>
    <row r="32" spans="1:3">
      <c r="A32" s="434" t="s">
        <v>28</v>
      </c>
      <c r="B32" s="435"/>
      <c r="C32" s="372">
        <v>20</v>
      </c>
    </row>
    <row r="33" spans="1:6">
      <c r="A33" s="434" t="s">
        <v>29</v>
      </c>
      <c r="B33" s="435"/>
      <c r="C33" s="372">
        <v>3</v>
      </c>
    </row>
    <row r="34" spans="1:6">
      <c r="A34" s="434" t="s">
        <v>30</v>
      </c>
      <c r="B34" s="435"/>
      <c r="C34" s="372">
        <v>2</v>
      </c>
    </row>
    <row r="35" spans="1:6">
      <c r="A35" s="434" t="s">
        <v>31</v>
      </c>
      <c r="B35" s="435"/>
      <c r="C35" s="372">
        <v>2</v>
      </c>
    </row>
    <row r="36" spans="1:6">
      <c r="A36" s="434" t="s">
        <v>32</v>
      </c>
      <c r="B36" s="435"/>
      <c r="C36" s="372">
        <v>5</v>
      </c>
    </row>
    <row r="37" spans="1:6">
      <c r="A37" s="438" t="s">
        <v>33</v>
      </c>
      <c r="B37" s="439"/>
      <c r="C37" s="371"/>
    </row>
    <row r="38" spans="1:6">
      <c r="A38" s="434" t="s">
        <v>34</v>
      </c>
      <c r="B38" s="435"/>
      <c r="C38" s="373">
        <v>5</v>
      </c>
    </row>
    <row r="39" spans="1:6">
      <c r="A39" s="434" t="s">
        <v>35</v>
      </c>
      <c r="B39" s="435"/>
      <c r="C39" s="373">
        <v>2</v>
      </c>
    </row>
    <row r="40" spans="1:6">
      <c r="A40" s="438" t="s">
        <v>36</v>
      </c>
      <c r="B40" s="439"/>
      <c r="C40" s="371"/>
    </row>
    <row r="41" spans="1:6">
      <c r="A41" s="434" t="s">
        <v>37</v>
      </c>
      <c r="B41" s="435"/>
      <c r="C41" s="373">
        <v>6</v>
      </c>
    </row>
    <row r="42" spans="1:6">
      <c r="A42" s="436" t="s">
        <v>38</v>
      </c>
      <c r="B42" s="437"/>
      <c r="C42" s="374">
        <f>SUM(C19:C41)</f>
        <v>92</v>
      </c>
    </row>
    <row r="43" spans="1:6">
      <c r="A43" s="284"/>
      <c r="C43" s="375" t="str">
        <f>IF(C42+C15+D15+E15=B15,"ok","rever")</f>
        <v>ok</v>
      </c>
    </row>
    <row r="44" spans="1:6">
      <c r="A44" s="376"/>
      <c r="B44" s="377"/>
      <c r="C44" s="377"/>
      <c r="D44" s="377"/>
      <c r="E44" s="377"/>
      <c r="F44" s="377"/>
    </row>
  </sheetData>
  <mergeCells count="27">
    <mergeCell ref="A1:F1"/>
    <mergeCell ref="A6:E6"/>
    <mergeCell ref="A18:C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1:B41"/>
    <mergeCell ref="A42:B42"/>
    <mergeCell ref="A36:B36"/>
    <mergeCell ref="A37:B37"/>
    <mergeCell ref="A38:B38"/>
    <mergeCell ref="A39:B39"/>
    <mergeCell ref="A40:B4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O28" sqref="O28"/>
    </sheetView>
  </sheetViews>
  <sheetFormatPr defaultColWidth="28" defaultRowHeight="22.5" customHeight="1"/>
  <cols>
    <col min="1" max="1" width="26.7109375" style="246" customWidth="1"/>
    <col min="2" max="2" width="13.28515625" style="246" customWidth="1"/>
    <col min="3" max="3" width="14.7109375" style="246" customWidth="1"/>
    <col min="4" max="4" width="14.85546875" style="246" customWidth="1"/>
    <col min="5" max="5" width="28" style="246" customWidth="1"/>
    <col min="6" max="16384" width="28" style="246"/>
  </cols>
  <sheetData>
    <row r="1" spans="1:17" ht="22.5" customHeight="1">
      <c r="A1" s="442" t="s">
        <v>39</v>
      </c>
      <c r="B1" s="443"/>
      <c r="C1" s="443"/>
      <c r="D1" s="443"/>
      <c r="E1" s="443"/>
      <c r="F1" s="455"/>
      <c r="G1" s="248"/>
      <c r="H1" s="248"/>
      <c r="I1" s="248"/>
      <c r="J1" s="248"/>
      <c r="K1" s="248"/>
      <c r="L1" s="248"/>
      <c r="M1" s="248"/>
      <c r="N1" s="248"/>
      <c r="O1" s="279"/>
      <c r="P1" s="280"/>
      <c r="Q1" s="280"/>
    </row>
    <row r="2" spans="1:17" ht="22.5" customHeight="1">
      <c r="A2" s="249"/>
      <c r="F2" s="320"/>
    </row>
    <row r="3" spans="1:17" ht="22.5" customHeight="1">
      <c r="A3" s="250" t="s">
        <v>6</v>
      </c>
      <c r="B3" s="456" t="s">
        <v>3</v>
      </c>
      <c r="C3" s="456"/>
      <c r="D3" s="456"/>
      <c r="E3" s="456"/>
      <c r="F3" s="320"/>
    </row>
    <row r="4" spans="1:17" ht="22.5" customHeight="1">
      <c r="A4" s="250" t="s">
        <v>7</v>
      </c>
      <c r="B4" s="457">
        <f>Leitos!B4</f>
        <v>45870</v>
      </c>
      <c r="C4" s="457"/>
      <c r="D4" s="457"/>
      <c r="E4" s="457"/>
      <c r="F4" s="320"/>
    </row>
    <row r="5" spans="1:17" ht="22.5" customHeight="1">
      <c r="A5" s="249"/>
      <c r="F5" s="320"/>
    </row>
    <row r="6" spans="1:17" ht="22.5" customHeight="1">
      <c r="A6" s="458" t="s">
        <v>40</v>
      </c>
      <c r="B6" s="459"/>
      <c r="C6" s="459"/>
      <c r="D6" s="459"/>
      <c r="E6" s="459"/>
      <c r="F6" s="460"/>
    </row>
    <row r="7" spans="1:17" ht="22.5" customHeight="1">
      <c r="A7" s="461"/>
      <c r="B7" s="462"/>
      <c r="C7" s="462"/>
      <c r="D7" s="462"/>
      <c r="F7" s="359" t="s">
        <v>41</v>
      </c>
    </row>
    <row r="8" spans="1:17" ht="22.5" customHeight="1">
      <c r="A8" s="450" t="s">
        <v>42</v>
      </c>
      <c r="B8" s="451"/>
      <c r="C8" s="451"/>
      <c r="D8" s="451"/>
      <c r="E8" s="451"/>
      <c r="F8" s="360">
        <v>2322</v>
      </c>
    </row>
    <row r="9" spans="1:17" ht="22.5" customHeight="1">
      <c r="A9" s="450" t="s">
        <v>43</v>
      </c>
      <c r="B9" s="451"/>
      <c r="C9" s="451"/>
      <c r="D9" s="451"/>
      <c r="E9" s="451"/>
      <c r="F9" s="272">
        <f>'Atividade Cirúrgica'!C15</f>
        <v>390</v>
      </c>
    </row>
    <row r="10" spans="1:17" ht="22.5" customHeight="1">
      <c r="A10" s="452" t="s">
        <v>14</v>
      </c>
      <c r="B10" s="453"/>
      <c r="C10" s="453"/>
      <c r="D10" s="453"/>
      <c r="E10" s="361"/>
      <c r="F10" s="288">
        <f>SUM(F8:F9)</f>
        <v>2712</v>
      </c>
    </row>
    <row r="11" spans="1:17" ht="50.1" customHeight="1">
      <c r="A11" s="450" t="s">
        <v>44</v>
      </c>
      <c r="B11" s="451"/>
      <c r="C11" s="451"/>
      <c r="D11" s="451"/>
      <c r="E11" s="451"/>
      <c r="F11" s="454"/>
    </row>
    <row r="12" spans="1:17" ht="22.5" customHeight="1">
      <c r="A12" s="249"/>
      <c r="F12" s="320"/>
    </row>
    <row r="13" spans="1:17" ht="22.5" customHeight="1">
      <c r="A13" s="249"/>
      <c r="F13" s="320"/>
    </row>
    <row r="14" spans="1:17" ht="22.5" customHeight="1">
      <c r="A14" s="249"/>
      <c r="F14" s="320"/>
    </row>
    <row r="15" spans="1:17" ht="22.5" customHeight="1">
      <c r="A15" s="249"/>
      <c r="F15" s="320"/>
    </row>
    <row r="16" spans="1:17" ht="22.5" customHeight="1">
      <c r="A16" s="249"/>
      <c r="F16" s="320"/>
    </row>
    <row r="17" spans="1:6" ht="22.5" customHeight="1">
      <c r="A17" s="249"/>
      <c r="F17" s="320"/>
    </row>
    <row r="18" spans="1:6" ht="22.5" customHeight="1">
      <c r="A18" s="362"/>
      <c r="B18" s="361"/>
      <c r="C18" s="361"/>
      <c r="D18" s="361"/>
      <c r="E18" s="361"/>
      <c r="F18" s="322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topLeftCell="A19" zoomScale="90" zoomScaleNormal="100" zoomScaleSheetLayoutView="90" zoomScalePageLayoutView="90" workbookViewId="0">
      <selection activeCell="H34" sqref="H34"/>
    </sheetView>
  </sheetViews>
  <sheetFormatPr defaultColWidth="28" defaultRowHeight="15"/>
  <cols>
    <col min="1" max="1" width="26.7109375" style="246" customWidth="1"/>
    <col min="2" max="2" width="13.28515625" style="246" customWidth="1"/>
    <col min="3" max="3" width="14.7109375" style="246" customWidth="1"/>
    <col min="4" max="4" width="19.28515625" style="246" customWidth="1"/>
    <col min="5" max="5" width="21" style="246" customWidth="1"/>
    <col min="6" max="6" width="19" style="246" customWidth="1"/>
    <col min="7" max="8" width="22.85546875" style="246" customWidth="1"/>
    <col min="9" max="9" width="19" style="246" customWidth="1"/>
    <col min="10" max="10" width="28" style="246" customWidth="1"/>
    <col min="11" max="16384" width="28" style="246"/>
  </cols>
  <sheetData>
    <row r="1" spans="1:22">
      <c r="A1" s="442" t="s">
        <v>5</v>
      </c>
      <c r="B1" s="443"/>
      <c r="C1" s="443"/>
      <c r="D1" s="443"/>
      <c r="E1" s="443"/>
      <c r="F1" s="443"/>
      <c r="G1" s="443"/>
      <c r="H1" s="443"/>
      <c r="I1" s="455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79"/>
      <c r="U1" s="280"/>
      <c r="V1" s="280"/>
    </row>
    <row r="2" spans="1:22">
      <c r="A2" s="249"/>
      <c r="I2" s="320"/>
    </row>
    <row r="3" spans="1:22">
      <c r="A3" s="250" t="s">
        <v>6</v>
      </c>
      <c r="B3" s="308" t="s">
        <v>3</v>
      </c>
      <c r="C3" s="308"/>
      <c r="D3" s="308"/>
      <c r="E3" s="309"/>
      <c r="F3" s="309"/>
      <c r="G3" s="332" t="s">
        <v>45</v>
      </c>
      <c r="H3" s="333">
        <v>6683134</v>
      </c>
      <c r="I3" s="320"/>
    </row>
    <row r="4" spans="1:22" ht="18" customHeight="1">
      <c r="A4" s="250" t="s">
        <v>7</v>
      </c>
      <c r="B4" s="334">
        <f>Leitos!B4</f>
        <v>45870</v>
      </c>
      <c r="I4" s="320"/>
    </row>
    <row r="5" spans="1:22">
      <c r="A5" s="249"/>
      <c r="I5" s="320"/>
    </row>
    <row r="6" spans="1:22" ht="21" customHeight="1">
      <c r="A6" s="467" t="s">
        <v>46</v>
      </c>
      <c r="B6" s="468"/>
      <c r="C6" s="468"/>
      <c r="D6" s="468"/>
      <c r="E6" s="468"/>
      <c r="F6" s="468"/>
      <c r="G6" s="468"/>
      <c r="H6" s="468"/>
      <c r="I6" s="469"/>
    </row>
    <row r="7" spans="1:22" ht="30">
      <c r="A7" s="335" t="s">
        <v>9</v>
      </c>
      <c r="B7" s="336" t="s">
        <v>47</v>
      </c>
      <c r="C7" s="336" t="s">
        <v>48</v>
      </c>
      <c r="D7" s="336" t="s">
        <v>49</v>
      </c>
      <c r="E7" s="336" t="s">
        <v>50</v>
      </c>
      <c r="F7" s="336" t="s">
        <v>51</v>
      </c>
      <c r="G7" s="336" t="s">
        <v>52</v>
      </c>
      <c r="H7" s="336" t="s">
        <v>53</v>
      </c>
      <c r="I7" s="341" t="s">
        <v>54</v>
      </c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</row>
    <row r="8" spans="1:22">
      <c r="A8" s="316" t="s">
        <v>55</v>
      </c>
      <c r="B8" s="265">
        <f>228-56-6-1-5</f>
        <v>160</v>
      </c>
      <c r="C8" s="265">
        <v>6</v>
      </c>
      <c r="D8" s="265">
        <v>1</v>
      </c>
      <c r="E8" s="265">
        <v>5</v>
      </c>
      <c r="F8" s="337">
        <f>SUM(B8:E8)</f>
        <v>172</v>
      </c>
      <c r="G8" s="321" t="s">
        <v>56</v>
      </c>
      <c r="H8" s="315">
        <v>806</v>
      </c>
      <c r="I8" s="358">
        <v>725</v>
      </c>
    </row>
    <row r="9" spans="1:22">
      <c r="A9" s="316" t="s">
        <v>57</v>
      </c>
      <c r="B9" s="265">
        <f>330-30-28-9-21</f>
        <v>242</v>
      </c>
      <c r="C9" s="265">
        <v>28</v>
      </c>
      <c r="D9" s="265">
        <v>9</v>
      </c>
      <c r="E9" s="265">
        <v>21</v>
      </c>
      <c r="F9" s="337">
        <f t="shared" ref="F9:F14" si="0">SUM(B9:E9)</f>
        <v>300</v>
      </c>
      <c r="G9" s="321" t="s">
        <v>56</v>
      </c>
      <c r="H9" s="315">
        <f>775+31</f>
        <v>806</v>
      </c>
      <c r="I9" s="358">
        <f>716+234</f>
        <v>950</v>
      </c>
    </row>
    <row r="10" spans="1:22">
      <c r="A10" s="316" t="s">
        <v>58</v>
      </c>
      <c r="B10" s="265">
        <f>30-1-2</f>
        <v>27</v>
      </c>
      <c r="C10" s="265">
        <v>0</v>
      </c>
      <c r="D10" s="265">
        <v>1</v>
      </c>
      <c r="E10" s="265">
        <v>2</v>
      </c>
      <c r="F10" s="337">
        <f t="shared" si="0"/>
        <v>30</v>
      </c>
      <c r="G10" s="321" t="s">
        <v>56</v>
      </c>
      <c r="H10" s="315">
        <v>260</v>
      </c>
      <c r="I10" s="358">
        <v>207</v>
      </c>
    </row>
    <row r="11" spans="1:22">
      <c r="A11" s="316" t="s">
        <v>59</v>
      </c>
      <c r="B11" s="265">
        <f>56-1</f>
        <v>55</v>
      </c>
      <c r="C11" s="265">
        <v>0</v>
      </c>
      <c r="D11" s="265">
        <v>0</v>
      </c>
      <c r="E11" s="265">
        <v>1</v>
      </c>
      <c r="F11" s="337">
        <f t="shared" si="0"/>
        <v>56</v>
      </c>
      <c r="G11" s="321" t="s">
        <v>56</v>
      </c>
      <c r="H11" s="315">
        <v>205</v>
      </c>
      <c r="I11" s="358">
        <v>181</v>
      </c>
    </row>
    <row r="12" spans="1:22">
      <c r="A12" s="316" t="s">
        <v>60</v>
      </c>
      <c r="B12" s="265">
        <f>82-3</f>
        <v>79</v>
      </c>
      <c r="C12" s="265">
        <v>3</v>
      </c>
      <c r="D12" s="265">
        <v>0</v>
      </c>
      <c r="E12" s="265">
        <v>0</v>
      </c>
      <c r="F12" s="337">
        <f t="shared" si="0"/>
        <v>82</v>
      </c>
      <c r="G12" s="321" t="s">
        <v>56</v>
      </c>
      <c r="H12" s="315">
        <f>465-186</f>
        <v>279</v>
      </c>
      <c r="I12" s="358">
        <f>359-193</f>
        <v>166</v>
      </c>
    </row>
    <row r="13" spans="1:22">
      <c r="A13" s="316" t="s">
        <v>61</v>
      </c>
      <c r="B13" s="265">
        <f>55-9</f>
        <v>46</v>
      </c>
      <c r="C13" s="265">
        <v>9</v>
      </c>
      <c r="D13" s="265">
        <v>0</v>
      </c>
      <c r="E13" s="265">
        <v>0</v>
      </c>
      <c r="F13" s="337">
        <f t="shared" si="0"/>
        <v>55</v>
      </c>
      <c r="G13" s="321" t="s">
        <v>56</v>
      </c>
      <c r="H13" s="315">
        <v>186</v>
      </c>
      <c r="I13" s="358">
        <v>193</v>
      </c>
    </row>
    <row r="14" spans="1:22">
      <c r="A14" s="335" t="s">
        <v>62</v>
      </c>
      <c r="B14" s="338" t="s">
        <v>56</v>
      </c>
      <c r="C14" s="336">
        <v>2</v>
      </c>
      <c r="D14" s="336">
        <v>2</v>
      </c>
      <c r="E14" s="336">
        <v>10</v>
      </c>
      <c r="F14" s="339">
        <f t="shared" si="0"/>
        <v>14</v>
      </c>
      <c r="G14" s="336">
        <v>42</v>
      </c>
      <c r="H14" s="336">
        <v>310</v>
      </c>
      <c r="I14" s="341">
        <v>286</v>
      </c>
    </row>
    <row r="15" spans="1:22">
      <c r="A15" s="286" t="s">
        <v>14</v>
      </c>
      <c r="B15" s="318">
        <f>SUM(B8:B13)</f>
        <v>609</v>
      </c>
      <c r="C15" s="318">
        <f>SUM(C8:C14)</f>
        <v>48</v>
      </c>
      <c r="D15" s="318">
        <f>SUM(D8:D14)</f>
        <v>13</v>
      </c>
      <c r="E15" s="318">
        <f>SUM(E8:E14)</f>
        <v>39</v>
      </c>
      <c r="F15" s="318">
        <f>SUM(F8:F14)</f>
        <v>709</v>
      </c>
      <c r="G15" s="318">
        <f>SUM(G14)</f>
        <v>42</v>
      </c>
      <c r="H15" s="318">
        <f>SUM(H8:H14)</f>
        <v>2852</v>
      </c>
      <c r="I15" s="319">
        <f>SUM(I8:I14)</f>
        <v>2708</v>
      </c>
    </row>
    <row r="16" spans="1:22" ht="41.1" customHeight="1">
      <c r="A16" s="470" t="s">
        <v>63</v>
      </c>
      <c r="B16" s="471"/>
      <c r="C16" s="471"/>
      <c r="D16" s="471"/>
      <c r="E16" s="471"/>
      <c r="F16" s="471"/>
      <c r="G16" s="471"/>
      <c r="H16" s="471"/>
      <c r="I16" s="472"/>
    </row>
    <row r="17" spans="1:9" ht="44.1" customHeight="1">
      <c r="A17" s="473" t="s">
        <v>64</v>
      </c>
      <c r="B17" s="474"/>
      <c r="D17" s="473" t="s">
        <v>65</v>
      </c>
      <c r="E17" s="474"/>
      <c r="G17"/>
      <c r="H17"/>
      <c r="I17" s="320"/>
    </row>
    <row r="18" spans="1:9">
      <c r="A18" s="340" t="s">
        <v>9</v>
      </c>
      <c r="B18" s="341" t="s">
        <v>66</v>
      </c>
      <c r="D18" s="340" t="s">
        <v>9</v>
      </c>
      <c r="E18" s="341" t="s">
        <v>67</v>
      </c>
      <c r="G18"/>
      <c r="H18"/>
      <c r="I18" s="320"/>
    </row>
    <row r="19" spans="1:9" ht="21" customHeight="1">
      <c r="A19" s="316" t="str">
        <f t="shared" ref="A19:A24" si="1">A8</f>
        <v>1. Clínica Cirúrgica</v>
      </c>
      <c r="B19" s="310">
        <v>2</v>
      </c>
      <c r="D19" s="316" t="str">
        <f t="shared" ref="D19:D24" si="2">A19</f>
        <v>1. Clínica Cirúrgica</v>
      </c>
      <c r="E19" s="310">
        <v>13</v>
      </c>
      <c r="G19"/>
      <c r="H19"/>
      <c r="I19" s="320"/>
    </row>
    <row r="20" spans="1:9">
      <c r="A20" s="316" t="str">
        <f t="shared" si="1"/>
        <v>2. Clínica Médica</v>
      </c>
      <c r="B20" s="272">
        <v>12</v>
      </c>
      <c r="D20" s="316" t="str">
        <f t="shared" si="2"/>
        <v>2. Clínica Médica</v>
      </c>
      <c r="E20" s="272">
        <v>21</v>
      </c>
      <c r="G20"/>
      <c r="H20"/>
      <c r="I20" s="320"/>
    </row>
    <row r="21" spans="1:9">
      <c r="A21" s="316" t="str">
        <f t="shared" si="1"/>
        <v>3. Oncologia Clínica</v>
      </c>
      <c r="B21" s="272">
        <v>0</v>
      </c>
      <c r="D21" s="316" t="str">
        <f t="shared" si="2"/>
        <v>3. Oncologia Clínica</v>
      </c>
      <c r="E21" s="272">
        <v>1</v>
      </c>
      <c r="G21"/>
      <c r="H21"/>
      <c r="I21" s="320"/>
    </row>
    <row r="22" spans="1:9" ht="30">
      <c r="A22" s="316" t="str">
        <f t="shared" si="1"/>
        <v>4. Oncologia Cirúrgica</v>
      </c>
      <c r="B22" s="272">
        <v>0</v>
      </c>
      <c r="D22" s="316" t="str">
        <f t="shared" si="2"/>
        <v>4. Oncologia Cirúrgica</v>
      </c>
      <c r="E22" s="272">
        <v>6</v>
      </c>
      <c r="G22"/>
      <c r="H22"/>
      <c r="I22" s="320"/>
    </row>
    <row r="23" spans="1:9" ht="30">
      <c r="A23" s="316" t="str">
        <f t="shared" si="1"/>
        <v>5. Clínica Gineco/Obstétrica</v>
      </c>
      <c r="B23" s="272">
        <v>0</v>
      </c>
      <c r="D23" s="316" t="str">
        <f t="shared" si="2"/>
        <v>5. Clínica Gineco/Obstétrica</v>
      </c>
      <c r="E23" s="272">
        <v>1</v>
      </c>
      <c r="G23"/>
      <c r="H23"/>
      <c r="I23" s="320"/>
    </row>
    <row r="24" spans="1:9">
      <c r="A24" s="316" t="str">
        <f t="shared" si="1"/>
        <v>6. Clínica Pediátrica</v>
      </c>
      <c r="B24" s="272">
        <v>0</v>
      </c>
      <c r="D24" s="316" t="str">
        <f t="shared" si="2"/>
        <v>6. Clínica Pediátrica</v>
      </c>
      <c r="E24" s="272">
        <v>0</v>
      </c>
      <c r="G24"/>
      <c r="H24"/>
      <c r="I24" s="320"/>
    </row>
    <row r="25" spans="1:9">
      <c r="A25" s="316" t="s">
        <v>68</v>
      </c>
      <c r="B25" s="272">
        <v>0</v>
      </c>
      <c r="D25" s="286" t="s">
        <v>14</v>
      </c>
      <c r="E25" s="288">
        <f>SUM(E19:E24)</f>
        <v>42</v>
      </c>
      <c r="G25"/>
      <c r="H25"/>
      <c r="I25" s="320"/>
    </row>
    <row r="26" spans="1:9" ht="18" customHeight="1">
      <c r="A26" s="286" t="s">
        <v>14</v>
      </c>
      <c r="B26" s="288">
        <f>SUM(B19:B25)</f>
        <v>14</v>
      </c>
      <c r="E26" s="342" t="str">
        <f>IF(E25=G14,"OK","REVER")</f>
        <v>OK</v>
      </c>
      <c r="G26"/>
      <c r="H26"/>
      <c r="I26" s="320"/>
    </row>
    <row r="27" spans="1:9">
      <c r="A27" s="249"/>
      <c r="B27" s="342" t="str">
        <f>IF(B26=F14,"OK","REVER")</f>
        <v>OK</v>
      </c>
      <c r="D27"/>
      <c r="E27"/>
      <c r="F27"/>
      <c r="G27"/>
      <c r="H27"/>
      <c r="I27" s="320"/>
    </row>
    <row r="28" spans="1:9">
      <c r="A28" s="249"/>
      <c r="I28" s="320"/>
    </row>
    <row r="29" spans="1:9" ht="17.25" customHeight="1">
      <c r="A29" s="343" t="s">
        <v>69</v>
      </c>
      <c r="B29" s="463" t="s">
        <v>70</v>
      </c>
      <c r="C29" s="464"/>
      <c r="D29" s="463" t="s">
        <v>71</v>
      </c>
      <c r="E29" s="465"/>
      <c r="F29" s="466"/>
    </row>
    <row r="30" spans="1:9" ht="20.25" customHeight="1">
      <c r="A30" s="344"/>
      <c r="B30" s="345" t="s">
        <v>72</v>
      </c>
      <c r="C30" s="345" t="s">
        <v>73</v>
      </c>
      <c r="D30" s="345" t="s">
        <v>74</v>
      </c>
      <c r="E30" s="345" t="s">
        <v>75</v>
      </c>
      <c r="F30" s="346" t="s">
        <v>76</v>
      </c>
    </row>
    <row r="31" spans="1:9" ht="15" customHeight="1">
      <c r="A31" s="347" t="str">
        <f t="shared" ref="A31:A37" si="3">A8</f>
        <v>1. Clínica Cirúrgica</v>
      </c>
      <c r="B31" s="348">
        <f>F8</f>
        <v>172</v>
      </c>
      <c r="C31" s="349">
        <f>B31/$B$38</f>
        <v>0.24259520451339917</v>
      </c>
      <c r="D31" s="350">
        <f>H8</f>
        <v>806</v>
      </c>
      <c r="E31" s="351">
        <f t="shared" ref="E31:E36" si="4">I8/F8</f>
        <v>4.2151162790697674</v>
      </c>
      <c r="F31" s="352">
        <f>I8/H8</f>
        <v>0.89950372208436724</v>
      </c>
    </row>
    <row r="32" spans="1:9">
      <c r="A32" s="347" t="str">
        <f t="shared" si="3"/>
        <v>2. Clínica Médica</v>
      </c>
      <c r="B32" s="348">
        <f t="shared" ref="B32:B37" si="5">F9</f>
        <v>300</v>
      </c>
      <c r="C32" s="349">
        <f t="shared" ref="C32:C38" si="6">B32/$B$38</f>
        <v>0.42313117066290551</v>
      </c>
      <c r="D32" s="350">
        <f t="shared" ref="D32:D37" si="7">H9</f>
        <v>806</v>
      </c>
      <c r="E32" s="351">
        <f t="shared" si="4"/>
        <v>3.1666666666666665</v>
      </c>
      <c r="F32" s="352">
        <f t="shared" ref="F32:F38" si="8">I9/H9</f>
        <v>1.1786600496277915</v>
      </c>
    </row>
    <row r="33" spans="1:9" ht="14.25" customHeight="1">
      <c r="A33" s="347" t="str">
        <f t="shared" si="3"/>
        <v>3. Oncologia Clínica</v>
      </c>
      <c r="B33" s="348">
        <f t="shared" si="5"/>
        <v>30</v>
      </c>
      <c r="C33" s="349">
        <f t="shared" si="6"/>
        <v>4.2313117066290547E-2</v>
      </c>
      <c r="D33" s="350">
        <f t="shared" si="7"/>
        <v>260</v>
      </c>
      <c r="E33" s="351">
        <f t="shared" si="4"/>
        <v>6.9</v>
      </c>
      <c r="F33" s="352">
        <f t="shared" si="8"/>
        <v>0.7961538461538461</v>
      </c>
    </row>
    <row r="34" spans="1:9" ht="14.25" customHeight="1">
      <c r="A34" s="347" t="str">
        <f t="shared" si="3"/>
        <v>4. Oncologia Cirúrgica</v>
      </c>
      <c r="B34" s="348">
        <f t="shared" si="5"/>
        <v>56</v>
      </c>
      <c r="C34" s="349">
        <f t="shared" si="6"/>
        <v>7.8984485190409029E-2</v>
      </c>
      <c r="D34" s="350">
        <f t="shared" si="7"/>
        <v>205</v>
      </c>
      <c r="E34" s="351">
        <f t="shared" si="4"/>
        <v>3.2321428571428572</v>
      </c>
      <c r="F34" s="352">
        <f t="shared" si="8"/>
        <v>0.88292682926829269</v>
      </c>
    </row>
    <row r="35" spans="1:9" ht="15" customHeight="1">
      <c r="A35" s="347" t="str">
        <f t="shared" si="3"/>
        <v>5. Clínica Gineco/Obstétrica</v>
      </c>
      <c r="B35" s="348">
        <f t="shared" si="5"/>
        <v>82</v>
      </c>
      <c r="C35" s="349">
        <f t="shared" si="6"/>
        <v>0.1156558533145275</v>
      </c>
      <c r="D35" s="350">
        <f t="shared" si="7"/>
        <v>279</v>
      </c>
      <c r="E35" s="351">
        <f t="shared" si="4"/>
        <v>2.024390243902439</v>
      </c>
      <c r="F35" s="352">
        <f t="shared" si="8"/>
        <v>0.59498207885304655</v>
      </c>
    </row>
    <row r="36" spans="1:9">
      <c r="A36" s="347" t="str">
        <f t="shared" si="3"/>
        <v>6. Clínica Pediátrica</v>
      </c>
      <c r="B36" s="348">
        <f t="shared" si="5"/>
        <v>55</v>
      </c>
      <c r="C36" s="349">
        <f t="shared" si="6"/>
        <v>7.7574047954866013E-2</v>
      </c>
      <c r="D36" s="350">
        <f t="shared" si="7"/>
        <v>186</v>
      </c>
      <c r="E36" s="351">
        <f t="shared" si="4"/>
        <v>3.5090909090909093</v>
      </c>
      <c r="F36" s="352">
        <f t="shared" si="8"/>
        <v>1.0376344086021505</v>
      </c>
    </row>
    <row r="37" spans="1:9">
      <c r="A37" s="347" t="str">
        <f t="shared" si="3"/>
        <v>7. UTI Adulto</v>
      </c>
      <c r="B37" s="348">
        <f t="shared" si="5"/>
        <v>14</v>
      </c>
      <c r="C37" s="349">
        <f t="shared" si="6"/>
        <v>1.9746121297602257E-2</v>
      </c>
      <c r="D37" s="350">
        <f t="shared" si="7"/>
        <v>310</v>
      </c>
      <c r="E37" s="421">
        <f>I14/(G14+F14)</f>
        <v>5.1071428571428568</v>
      </c>
      <c r="F37" s="352">
        <f t="shared" si="8"/>
        <v>0.92258064516129035</v>
      </c>
    </row>
    <row r="38" spans="1:9">
      <c r="A38" s="353" t="s">
        <v>14</v>
      </c>
      <c r="B38" s="354">
        <f>SUM(B31:B37)</f>
        <v>709</v>
      </c>
      <c r="C38" s="349">
        <f t="shared" si="6"/>
        <v>1</v>
      </c>
      <c r="D38" s="355">
        <f>SUM(D31:D37)</f>
        <v>2852</v>
      </c>
      <c r="E38" s="422">
        <f>AVERAGE(E31:E37)</f>
        <v>4.0220785447164991</v>
      </c>
      <c r="F38" s="356">
        <f t="shared" si="8"/>
        <v>0.94950911640953717</v>
      </c>
    </row>
    <row r="39" spans="1:9">
      <c r="I39" s="320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showWhiteSpace="0" view="pageLayout" topLeftCell="A25" zoomScaleNormal="100" zoomScaleSheetLayoutView="100" workbookViewId="0">
      <selection activeCell="O28" sqref="O28"/>
    </sheetView>
  </sheetViews>
  <sheetFormatPr defaultColWidth="28" defaultRowHeight="19.5" customHeight="1"/>
  <cols>
    <col min="1" max="1" width="39.28515625" style="246" customWidth="1"/>
    <col min="2" max="2" width="24.7109375" style="246" customWidth="1"/>
    <col min="3" max="3" width="18.28515625" style="246" customWidth="1"/>
    <col min="4" max="4" width="19.7109375" style="246" customWidth="1"/>
    <col min="5" max="5" width="20.42578125" style="246" customWidth="1"/>
    <col min="6" max="16384" width="28" style="246"/>
  </cols>
  <sheetData>
    <row r="1" spans="1:13" ht="19.5" customHeight="1">
      <c r="A1" s="442" t="s">
        <v>77</v>
      </c>
      <c r="B1" s="443"/>
      <c r="C1" s="443"/>
      <c r="D1" s="443"/>
      <c r="E1" s="455"/>
      <c r="F1" s="248"/>
      <c r="G1" s="248"/>
      <c r="H1" s="248"/>
      <c r="I1" s="248"/>
      <c r="J1" s="248"/>
      <c r="K1" s="279"/>
      <c r="L1" s="280"/>
      <c r="M1" s="280"/>
    </row>
    <row r="2" spans="1:13" ht="19.5" customHeight="1">
      <c r="A2" s="249"/>
    </row>
    <row r="3" spans="1:13" ht="19.5" customHeight="1">
      <c r="A3" s="250" t="s">
        <v>6</v>
      </c>
      <c r="B3" s="308" t="s">
        <v>3</v>
      </c>
      <c r="C3" s="309"/>
    </row>
    <row r="4" spans="1:13" ht="19.5" customHeight="1">
      <c r="A4" s="250" t="s">
        <v>7</v>
      </c>
      <c r="B4" s="251">
        <f>Leitos!B4</f>
        <v>45870</v>
      </c>
    </row>
    <row r="5" spans="1:13" ht="19.5" customHeight="1">
      <c r="A5" s="249"/>
    </row>
    <row r="6" spans="1:13" ht="19.5" customHeight="1">
      <c r="A6" s="458" t="s">
        <v>78</v>
      </c>
      <c r="B6" s="459"/>
      <c r="C6" s="459"/>
      <c r="D6" s="459"/>
      <c r="E6" s="460"/>
    </row>
    <row r="7" spans="1:13" ht="18" customHeight="1">
      <c r="A7" s="479" t="s">
        <v>79</v>
      </c>
      <c r="B7" s="480"/>
      <c r="C7" s="480"/>
      <c r="D7" s="480"/>
      <c r="E7" s="481"/>
    </row>
    <row r="8" spans="1:13" ht="63" customHeight="1">
      <c r="A8" s="311" t="s">
        <v>80</v>
      </c>
      <c r="B8" s="312" t="s">
        <v>81</v>
      </c>
      <c r="C8" s="312" t="s">
        <v>82</v>
      </c>
      <c r="D8" s="312" t="s">
        <v>83</v>
      </c>
      <c r="E8" s="313" t="s">
        <v>14</v>
      </c>
    </row>
    <row r="9" spans="1:13" ht="19.5" customHeight="1">
      <c r="A9" s="249" t="s">
        <v>84</v>
      </c>
      <c r="B9" s="247">
        <v>23</v>
      </c>
      <c r="C9" s="247">
        <v>0</v>
      </c>
      <c r="D9" s="247">
        <v>61</v>
      </c>
      <c r="E9" s="314">
        <f>SUM(B9:D9)</f>
        <v>84</v>
      </c>
    </row>
    <row r="10" spans="1:13" ht="19.5" customHeight="1">
      <c r="A10" s="249" t="s">
        <v>85</v>
      </c>
      <c r="B10" s="247">
        <v>115</v>
      </c>
      <c r="C10" s="247">
        <v>0</v>
      </c>
      <c r="D10" s="247">
        <f>89+4+2+2</f>
        <v>97</v>
      </c>
      <c r="E10" s="314">
        <f t="shared" ref="E10:E30" si="0">SUM(B10:D10)</f>
        <v>212</v>
      </c>
    </row>
    <row r="11" spans="1:13" ht="19.5" customHeight="1">
      <c r="A11" s="249" t="s">
        <v>86</v>
      </c>
      <c r="B11" s="247">
        <v>71</v>
      </c>
      <c r="C11" s="247">
        <v>0</v>
      </c>
      <c r="D11" s="247">
        <f>56+65+3+1</f>
        <v>125</v>
      </c>
      <c r="E11" s="314">
        <f t="shared" si="0"/>
        <v>196</v>
      </c>
    </row>
    <row r="12" spans="1:13" ht="19.5" customHeight="1">
      <c r="A12" s="249" t="s">
        <v>87</v>
      </c>
      <c r="B12" s="315">
        <v>71</v>
      </c>
      <c r="C12" s="315">
        <v>0</v>
      </c>
      <c r="D12" s="315">
        <f>55+34</f>
        <v>89</v>
      </c>
      <c r="E12" s="314">
        <f t="shared" si="0"/>
        <v>160</v>
      </c>
    </row>
    <row r="13" spans="1:13" ht="19.5" customHeight="1">
      <c r="A13" s="249" t="s">
        <v>88</v>
      </c>
      <c r="B13" s="265">
        <v>0</v>
      </c>
      <c r="C13" s="265">
        <v>0</v>
      </c>
      <c r="D13" s="265">
        <v>3</v>
      </c>
      <c r="E13" s="314">
        <f t="shared" si="0"/>
        <v>3</v>
      </c>
    </row>
    <row r="14" spans="1:13" ht="19.5" customHeight="1">
      <c r="A14" s="249" t="s">
        <v>89</v>
      </c>
      <c r="B14" s="247">
        <v>13</v>
      </c>
      <c r="C14" s="247">
        <v>0</v>
      </c>
      <c r="D14" s="247">
        <v>18</v>
      </c>
      <c r="E14" s="314">
        <f t="shared" si="0"/>
        <v>31</v>
      </c>
    </row>
    <row r="15" spans="1:13" ht="19.5" customHeight="1">
      <c r="A15" s="249" t="s">
        <v>90</v>
      </c>
      <c r="B15" s="265">
        <v>21</v>
      </c>
      <c r="C15" s="265">
        <v>0</v>
      </c>
      <c r="D15" s="265">
        <f>8+2+3</f>
        <v>13</v>
      </c>
      <c r="E15" s="314">
        <f t="shared" si="0"/>
        <v>34</v>
      </c>
    </row>
    <row r="16" spans="1:13" ht="19.5" customHeight="1">
      <c r="A16" s="249" t="s">
        <v>91</v>
      </c>
      <c r="B16" s="265">
        <v>14</v>
      </c>
      <c r="C16" s="265">
        <v>0</v>
      </c>
      <c r="D16" s="265">
        <v>13</v>
      </c>
      <c r="E16" s="314">
        <f t="shared" si="0"/>
        <v>27</v>
      </c>
    </row>
    <row r="17" spans="1:5" ht="15">
      <c r="A17" s="316" t="s">
        <v>92</v>
      </c>
      <c r="B17" s="247">
        <v>4</v>
      </c>
      <c r="C17" s="247">
        <v>0</v>
      </c>
      <c r="D17" s="247">
        <v>28</v>
      </c>
      <c r="E17" s="314">
        <f t="shared" si="0"/>
        <v>32</v>
      </c>
    </row>
    <row r="18" spans="1:5" ht="19.5" customHeight="1">
      <c r="A18" s="249" t="s">
        <v>93</v>
      </c>
      <c r="B18" s="247">
        <v>0</v>
      </c>
      <c r="C18" s="247">
        <v>0</v>
      </c>
      <c r="D18" s="247">
        <v>7</v>
      </c>
      <c r="E18" s="314">
        <f t="shared" si="0"/>
        <v>7</v>
      </c>
    </row>
    <row r="19" spans="1:5" ht="19.5" customHeight="1">
      <c r="A19" s="249" t="s">
        <v>94</v>
      </c>
      <c r="B19" s="247">
        <v>0</v>
      </c>
      <c r="C19" s="247">
        <v>0</v>
      </c>
      <c r="D19" s="247">
        <v>21</v>
      </c>
      <c r="E19" s="314">
        <f t="shared" si="0"/>
        <v>21</v>
      </c>
    </row>
    <row r="20" spans="1:5" ht="19.5" customHeight="1">
      <c r="A20" s="249" t="s">
        <v>95</v>
      </c>
      <c r="B20" s="247">
        <v>6</v>
      </c>
      <c r="C20" s="247">
        <v>0</v>
      </c>
      <c r="D20" s="247">
        <v>8</v>
      </c>
      <c r="E20" s="314">
        <f t="shared" si="0"/>
        <v>14</v>
      </c>
    </row>
    <row r="21" spans="1:5" ht="19.5" customHeight="1">
      <c r="A21" s="249" t="s">
        <v>96</v>
      </c>
      <c r="B21" s="247">
        <v>233</v>
      </c>
      <c r="C21" s="247">
        <v>0</v>
      </c>
      <c r="D21" s="247">
        <f>89+17</f>
        <v>106</v>
      </c>
      <c r="E21" s="314">
        <f t="shared" si="0"/>
        <v>339</v>
      </c>
    </row>
    <row r="22" spans="1:5" ht="19.5" customHeight="1">
      <c r="A22" s="249" t="s">
        <v>97</v>
      </c>
      <c r="B22" s="247">
        <f>9+52</f>
        <v>61</v>
      </c>
      <c r="C22" s="247">
        <v>0</v>
      </c>
      <c r="D22" s="247">
        <f>1+385+376</f>
        <v>762</v>
      </c>
      <c r="E22" s="314">
        <f t="shared" si="0"/>
        <v>823</v>
      </c>
    </row>
    <row r="23" spans="1:5" ht="19.5" customHeight="1">
      <c r="A23" s="249" t="s">
        <v>98</v>
      </c>
      <c r="B23" s="247">
        <f>35+1</f>
        <v>36</v>
      </c>
      <c r="C23" s="247">
        <v>0</v>
      </c>
      <c r="D23" s="247">
        <f>125+60</f>
        <v>185</v>
      </c>
      <c r="E23" s="314">
        <f t="shared" si="0"/>
        <v>221</v>
      </c>
    </row>
    <row r="24" spans="1:5" ht="19.5" customHeight="1">
      <c r="A24" s="249" t="s">
        <v>99</v>
      </c>
      <c r="B24" s="247">
        <v>136</v>
      </c>
      <c r="C24" s="247">
        <v>0</v>
      </c>
      <c r="D24" s="247">
        <f>92+198</f>
        <v>290</v>
      </c>
      <c r="E24" s="314">
        <f t="shared" si="0"/>
        <v>426</v>
      </c>
    </row>
    <row r="25" spans="1:5" ht="19.5" customHeight="1">
      <c r="A25" s="249" t="s">
        <v>100</v>
      </c>
      <c r="B25" s="247">
        <v>16</v>
      </c>
      <c r="C25" s="247">
        <v>0</v>
      </c>
      <c r="D25" s="247">
        <f>29+16</f>
        <v>45</v>
      </c>
      <c r="E25" s="314">
        <f t="shared" si="0"/>
        <v>61</v>
      </c>
    </row>
    <row r="26" spans="1:5" ht="19.5" customHeight="1">
      <c r="A26" s="249" t="s">
        <v>101</v>
      </c>
      <c r="B26" s="247">
        <v>11</v>
      </c>
      <c r="C26" s="247">
        <v>0</v>
      </c>
      <c r="D26" s="247">
        <v>7</v>
      </c>
      <c r="E26" s="314">
        <f t="shared" si="0"/>
        <v>18</v>
      </c>
    </row>
    <row r="27" spans="1:5" ht="19.5" customHeight="1">
      <c r="A27" s="249" t="s">
        <v>102</v>
      </c>
      <c r="B27" s="247">
        <v>3</v>
      </c>
      <c r="C27" s="247">
        <v>0</v>
      </c>
      <c r="D27" s="247">
        <f>19+9</f>
        <v>28</v>
      </c>
      <c r="E27" s="314">
        <f t="shared" si="0"/>
        <v>31</v>
      </c>
    </row>
    <row r="28" spans="1:5" ht="19.5" customHeight="1">
      <c r="A28" s="249" t="s">
        <v>103</v>
      </c>
      <c r="B28" s="247">
        <v>8</v>
      </c>
      <c r="C28" s="247">
        <v>0</v>
      </c>
      <c r="D28" s="247">
        <v>14</v>
      </c>
      <c r="E28" s="314">
        <f t="shared" si="0"/>
        <v>22</v>
      </c>
    </row>
    <row r="29" spans="1:5" ht="19.5" customHeight="1">
      <c r="A29" s="249" t="s">
        <v>104</v>
      </c>
      <c r="B29" s="247">
        <v>10</v>
      </c>
      <c r="C29" s="247">
        <v>0</v>
      </c>
      <c r="D29" s="247">
        <v>7</v>
      </c>
      <c r="E29" s="314">
        <f t="shared" si="0"/>
        <v>17</v>
      </c>
    </row>
    <row r="30" spans="1:5" ht="15">
      <c r="A30" s="316"/>
      <c r="B30" s="247">
        <v>29</v>
      </c>
      <c r="C30" s="247">
        <v>0</v>
      </c>
      <c r="D30" s="247">
        <v>22</v>
      </c>
      <c r="E30" s="314">
        <f t="shared" si="0"/>
        <v>51</v>
      </c>
    </row>
    <row r="31" spans="1:5" ht="19.5" customHeight="1">
      <c r="A31" s="317" t="s">
        <v>14</v>
      </c>
      <c r="B31" s="318">
        <f>SUM(B9:B30)</f>
        <v>881</v>
      </c>
      <c r="C31" s="318">
        <f>SUM(C9:C30)</f>
        <v>0</v>
      </c>
      <c r="D31" s="318">
        <f>SUM(D9:D30)</f>
        <v>1949</v>
      </c>
      <c r="E31" s="319">
        <f>SUM(E9:E30)</f>
        <v>2830</v>
      </c>
    </row>
    <row r="32" spans="1:5" ht="21" customHeight="1">
      <c r="A32" s="249"/>
      <c r="E32" s="320"/>
    </row>
    <row r="33" spans="1:5" ht="20.100000000000001" customHeight="1">
      <c r="A33" s="482" t="s">
        <v>106</v>
      </c>
      <c r="B33" s="483"/>
      <c r="C33" s="483"/>
      <c r="D33" s="484"/>
      <c r="E33" s="320"/>
    </row>
    <row r="34" spans="1:5" ht="30.95" customHeight="1">
      <c r="A34" s="311" t="s">
        <v>80</v>
      </c>
      <c r="B34" s="312" t="s">
        <v>107</v>
      </c>
      <c r="C34" s="312" t="s">
        <v>108</v>
      </c>
      <c r="D34" s="313" t="s">
        <v>14</v>
      </c>
      <c r="E34" s="320"/>
    </row>
    <row r="35" spans="1:5" ht="45.95" customHeight="1">
      <c r="A35" s="316" t="s">
        <v>109</v>
      </c>
      <c r="B35" s="247">
        <v>12</v>
      </c>
      <c r="C35" s="247">
        <v>7</v>
      </c>
      <c r="D35" s="314">
        <f>SUM(B35:C35)</f>
        <v>19</v>
      </c>
      <c r="E35" s="320"/>
    </row>
    <row r="36" spans="1:5" ht="39.950000000000003" customHeight="1">
      <c r="A36" s="316" t="s">
        <v>110</v>
      </c>
      <c r="B36" s="321" t="s">
        <v>56</v>
      </c>
      <c r="C36" s="247">
        <f>289+209</f>
        <v>498</v>
      </c>
      <c r="D36" s="314">
        <f>SUM(B36:C36)</f>
        <v>498</v>
      </c>
      <c r="E36" s="320"/>
    </row>
    <row r="37" spans="1:5" ht="19.5" customHeight="1">
      <c r="A37" s="317" t="s">
        <v>14</v>
      </c>
      <c r="B37" s="318">
        <f>SUM(B35:B36)</f>
        <v>12</v>
      </c>
      <c r="C37" s="318">
        <f>SUM(C35:C36)</f>
        <v>505</v>
      </c>
      <c r="D37" s="319">
        <f>SUM(D35:D36)</f>
        <v>517</v>
      </c>
      <c r="E37" s="320"/>
    </row>
    <row r="38" spans="1:5" ht="9" customHeight="1">
      <c r="A38" s="249"/>
      <c r="E38" s="320"/>
    </row>
    <row r="39" spans="1:5" ht="18" customHeight="1">
      <c r="A39" s="482" t="s">
        <v>111</v>
      </c>
      <c r="B39" s="483"/>
      <c r="C39" s="483"/>
      <c r="D39" s="484"/>
      <c r="E39" s="320"/>
    </row>
    <row r="40" spans="1:5" ht="27.95" customHeight="1">
      <c r="A40" s="311" t="s">
        <v>80</v>
      </c>
      <c r="B40" s="312" t="str">
        <f>B34</f>
        <v>Realizado Regulação**</v>
      </c>
      <c r="C40" s="312" t="str">
        <f>C34</f>
        <v>Agenda Interna</v>
      </c>
      <c r="D40" s="313" t="s">
        <v>14</v>
      </c>
      <c r="E40" s="320"/>
    </row>
    <row r="41" spans="1:5" ht="19.5" customHeight="1">
      <c r="A41" s="316" t="s">
        <v>112</v>
      </c>
      <c r="B41" s="247">
        <v>1</v>
      </c>
      <c r="C41" s="247">
        <v>8</v>
      </c>
      <c r="D41" s="314">
        <f>SUM(B41:C41)</f>
        <v>9</v>
      </c>
      <c r="E41" s="320"/>
    </row>
    <row r="42" spans="1:5" ht="19.5" customHeight="1">
      <c r="A42" s="249" t="s">
        <v>113</v>
      </c>
      <c r="B42" s="321" t="s">
        <v>56</v>
      </c>
      <c r="C42" s="247">
        <v>163</v>
      </c>
      <c r="D42" s="314">
        <f>SUM(B42:C42)</f>
        <v>163</v>
      </c>
      <c r="E42" s="320"/>
    </row>
    <row r="43" spans="1:5" ht="19.5" customHeight="1">
      <c r="A43" s="249" t="s">
        <v>114</v>
      </c>
      <c r="B43" s="321" t="s">
        <v>56</v>
      </c>
      <c r="C43" s="247">
        <v>13</v>
      </c>
      <c r="D43" s="314">
        <f>SUM(B43:C43)</f>
        <v>13</v>
      </c>
      <c r="E43" s="320"/>
    </row>
    <row r="44" spans="1:5" ht="19.5" customHeight="1">
      <c r="A44" s="249" t="s">
        <v>115</v>
      </c>
      <c r="B44" s="321" t="s">
        <v>56</v>
      </c>
      <c r="C44" s="247">
        <v>119</v>
      </c>
      <c r="D44" s="314">
        <f>SUM(B44:C44)</f>
        <v>119</v>
      </c>
      <c r="E44" s="320"/>
    </row>
    <row r="45" spans="1:5" ht="19.5" customHeight="1">
      <c r="A45" s="317" t="s">
        <v>14</v>
      </c>
      <c r="B45" s="318">
        <f>SUM(B41:B44)</f>
        <v>1</v>
      </c>
      <c r="C45" s="318">
        <f>SUM(C41:C44)</f>
        <v>303</v>
      </c>
      <c r="D45" s="319">
        <f>SUM(D41:D44)</f>
        <v>304</v>
      </c>
      <c r="E45" s="322"/>
    </row>
    <row r="46" spans="1:5" ht="19.5" customHeight="1">
      <c r="A46" s="249"/>
    </row>
    <row r="47" spans="1:5" ht="19.5" customHeight="1">
      <c r="A47" s="458" t="s">
        <v>116</v>
      </c>
      <c r="B47" s="459"/>
      <c r="C47" s="459"/>
      <c r="D47" s="459"/>
      <c r="E47" s="460"/>
    </row>
    <row r="48" spans="1:5" ht="19.5" customHeight="1">
      <c r="A48" s="473" t="s">
        <v>117</v>
      </c>
      <c r="B48" s="475"/>
      <c r="C48" s="475"/>
      <c r="D48" s="475"/>
      <c r="E48" s="474"/>
    </row>
    <row r="49" spans="1:5" ht="18.95" customHeight="1">
      <c r="A49" s="323"/>
      <c r="B49" s="324"/>
      <c r="C49" s="324"/>
      <c r="D49" s="325"/>
      <c r="E49" s="271"/>
    </row>
    <row r="50" spans="1:5" ht="84" customHeight="1">
      <c r="A50" s="326" t="s">
        <v>80</v>
      </c>
      <c r="B50" s="327" t="s">
        <v>118</v>
      </c>
      <c r="C50" s="327" t="s">
        <v>119</v>
      </c>
      <c r="D50" s="328" t="s">
        <v>120</v>
      </c>
      <c r="E50" s="329" t="s">
        <v>121</v>
      </c>
    </row>
    <row r="51" spans="1:5" ht="19.5" customHeight="1">
      <c r="A51" s="249" t="s">
        <v>85</v>
      </c>
      <c r="B51" s="247">
        <v>120</v>
      </c>
      <c r="C51" s="247">
        <v>116</v>
      </c>
      <c r="D51" s="247">
        <v>115</v>
      </c>
      <c r="E51" s="330">
        <f>C51-D51</f>
        <v>1</v>
      </c>
    </row>
    <row r="52" spans="1:5" ht="19.5" customHeight="1">
      <c r="A52" s="249" t="s">
        <v>86</v>
      </c>
      <c r="B52" s="247">
        <v>70</v>
      </c>
      <c r="C52" s="247">
        <v>70</v>
      </c>
      <c r="D52" s="247">
        <v>71</v>
      </c>
      <c r="E52" s="330">
        <f t="shared" ref="E52:E57" si="1">C52-D52</f>
        <v>-1</v>
      </c>
    </row>
    <row r="53" spans="1:5" ht="19.5" customHeight="1">
      <c r="A53" s="249" t="s">
        <v>87</v>
      </c>
      <c r="B53" s="247">
        <v>75</v>
      </c>
      <c r="C53" s="315">
        <v>70</v>
      </c>
      <c r="D53" s="315">
        <v>71</v>
      </c>
      <c r="E53" s="330">
        <f t="shared" si="1"/>
        <v>-1</v>
      </c>
    </row>
    <row r="54" spans="1:5" ht="19.5" customHeight="1">
      <c r="A54" s="249" t="s">
        <v>89</v>
      </c>
      <c r="B54" s="247">
        <v>15</v>
      </c>
      <c r="C54" s="247">
        <v>14</v>
      </c>
      <c r="D54" s="247">
        <v>13</v>
      </c>
      <c r="E54" s="330">
        <f t="shared" si="1"/>
        <v>1</v>
      </c>
    </row>
    <row r="55" spans="1:5" ht="19.5" customHeight="1">
      <c r="A55" s="249" t="s">
        <v>90</v>
      </c>
      <c r="B55" s="265">
        <v>25</v>
      </c>
      <c r="C55" s="265">
        <v>24</v>
      </c>
      <c r="D55" s="265">
        <v>21</v>
      </c>
      <c r="E55" s="330">
        <f t="shared" si="1"/>
        <v>3</v>
      </c>
    </row>
    <row r="56" spans="1:5" ht="19.5" customHeight="1">
      <c r="A56" s="249" t="s">
        <v>91</v>
      </c>
      <c r="B56" s="265">
        <v>15</v>
      </c>
      <c r="C56" s="265">
        <v>14</v>
      </c>
      <c r="D56" s="265">
        <v>14</v>
      </c>
      <c r="E56" s="330">
        <f t="shared" si="1"/>
        <v>0</v>
      </c>
    </row>
    <row r="57" spans="1:5" ht="19.5" customHeight="1">
      <c r="A57" s="316" t="s">
        <v>92</v>
      </c>
      <c r="B57" s="247">
        <v>5</v>
      </c>
      <c r="C57" s="247">
        <v>5</v>
      </c>
      <c r="D57" s="247">
        <v>4</v>
      </c>
      <c r="E57" s="330">
        <f t="shared" si="1"/>
        <v>1</v>
      </c>
    </row>
    <row r="58" spans="1:5" ht="19.5" customHeight="1">
      <c r="A58" s="249" t="s">
        <v>94</v>
      </c>
      <c r="B58" s="247">
        <v>0</v>
      </c>
      <c r="C58" s="247">
        <v>0</v>
      </c>
      <c r="D58" s="247">
        <v>0</v>
      </c>
      <c r="E58" s="330">
        <f>C58-D58</f>
        <v>0</v>
      </c>
    </row>
    <row r="59" spans="1:5" ht="19.5" customHeight="1">
      <c r="A59" s="249" t="s">
        <v>95</v>
      </c>
      <c r="B59" s="247">
        <v>25</v>
      </c>
      <c r="C59" s="247">
        <v>25</v>
      </c>
      <c r="D59" s="247">
        <v>6</v>
      </c>
      <c r="E59" s="330">
        <f>C59-D59</f>
        <v>19</v>
      </c>
    </row>
    <row r="60" spans="1:5" ht="19.5" customHeight="1">
      <c r="A60" s="249" t="s">
        <v>96</v>
      </c>
      <c r="B60" s="247">
        <v>300</v>
      </c>
      <c r="C60" s="247">
        <v>272</v>
      </c>
      <c r="D60" s="247">
        <v>133</v>
      </c>
      <c r="E60" s="330">
        <f>C60-D60</f>
        <v>139</v>
      </c>
    </row>
    <row r="61" spans="1:5" ht="19.5" customHeight="1">
      <c r="A61" s="249" t="s">
        <v>122</v>
      </c>
      <c r="B61" s="342">
        <v>136</v>
      </c>
      <c r="C61" s="342">
        <v>95</v>
      </c>
      <c r="D61" s="342">
        <v>88</v>
      </c>
      <c r="E61" s="330">
        <f>C61-D61</f>
        <v>7</v>
      </c>
    </row>
    <row r="62" spans="1:5" ht="19.5" customHeight="1">
      <c r="A62" s="249" t="s">
        <v>99</v>
      </c>
      <c r="B62" s="247">
        <v>300</v>
      </c>
      <c r="C62" s="247">
        <v>147</v>
      </c>
      <c r="D62" s="247">
        <v>136</v>
      </c>
      <c r="E62" s="330">
        <f t="shared" ref="E62:E67" si="2">C62-D62</f>
        <v>11</v>
      </c>
    </row>
    <row r="63" spans="1:5" ht="19.5" customHeight="1">
      <c r="A63" s="249" t="s">
        <v>100</v>
      </c>
      <c r="B63" s="247">
        <v>100</v>
      </c>
      <c r="C63" s="247">
        <v>14</v>
      </c>
      <c r="D63" s="247">
        <v>14</v>
      </c>
      <c r="E63" s="330">
        <f t="shared" si="2"/>
        <v>0</v>
      </c>
    </row>
    <row r="64" spans="1:5" ht="19.5" customHeight="1">
      <c r="A64" s="249" t="s">
        <v>101</v>
      </c>
      <c r="B64" s="247">
        <v>25</v>
      </c>
      <c r="C64" s="247">
        <v>10</v>
      </c>
      <c r="D64" s="247">
        <v>10</v>
      </c>
      <c r="E64" s="330">
        <f t="shared" si="2"/>
        <v>0</v>
      </c>
    </row>
    <row r="65" spans="1:5" ht="19.5" customHeight="1">
      <c r="A65" s="295" t="s">
        <v>103</v>
      </c>
      <c r="B65" s="247">
        <v>10</v>
      </c>
      <c r="C65" s="247">
        <v>10</v>
      </c>
      <c r="D65" s="247">
        <v>8</v>
      </c>
      <c r="E65" s="330">
        <f t="shared" si="2"/>
        <v>2</v>
      </c>
    </row>
    <row r="66" spans="1:5" ht="19.5" customHeight="1">
      <c r="A66" s="249" t="s">
        <v>104</v>
      </c>
      <c r="B66" s="247">
        <v>15</v>
      </c>
      <c r="C66" s="247">
        <v>15</v>
      </c>
      <c r="D66" s="247">
        <v>10</v>
      </c>
      <c r="E66" s="330">
        <f t="shared" si="2"/>
        <v>5</v>
      </c>
    </row>
    <row r="67" spans="1:5" ht="19.5" customHeight="1">
      <c r="A67" s="316" t="s">
        <v>105</v>
      </c>
      <c r="B67" s="247">
        <v>35</v>
      </c>
      <c r="C67" s="247">
        <v>34</v>
      </c>
      <c r="D67" s="247">
        <v>29</v>
      </c>
      <c r="E67" s="330">
        <f t="shared" si="2"/>
        <v>5</v>
      </c>
    </row>
    <row r="68" spans="1:5" ht="19.5" customHeight="1">
      <c r="A68" s="317" t="s">
        <v>14</v>
      </c>
      <c r="B68" s="318">
        <f>SUM(B51:B67)</f>
        <v>1271</v>
      </c>
      <c r="C68" s="318">
        <f>SUM(C51:C67)</f>
        <v>935</v>
      </c>
      <c r="D68" s="318">
        <f>SUM(D51:D67)</f>
        <v>743</v>
      </c>
      <c r="E68" s="319">
        <f>SUM(E51:E67)</f>
        <v>192</v>
      </c>
    </row>
    <row r="69" spans="1:5" ht="19.5" customHeight="1">
      <c r="A69" s="249"/>
      <c r="D69" s="247"/>
      <c r="E69" s="320"/>
    </row>
    <row r="70" spans="1:5" ht="19.5" customHeight="1">
      <c r="A70" s="476" t="s">
        <v>123</v>
      </c>
      <c r="B70" s="477"/>
      <c r="C70" s="477"/>
      <c r="D70" s="477"/>
      <c r="E70" s="478"/>
    </row>
    <row r="71" spans="1:5" ht="104.1" customHeight="1">
      <c r="A71" s="311" t="s">
        <v>80</v>
      </c>
      <c r="B71" s="312" t="str">
        <f>B50</f>
        <v>Nº de Consultas disponibilizadas para Regulação</v>
      </c>
      <c r="C71" s="312" t="str">
        <f>C50</f>
        <v>Nº de Consultas agendadas com os pacientes oriundos da Regulação</v>
      </c>
      <c r="D71" s="312" t="str">
        <f>D50</f>
        <v>Nº de Consultas Realizadas com os pacientes oriundos da Regulação**</v>
      </c>
      <c r="E71" s="331" t="str">
        <f>E50</f>
        <v>Nº de Pacientes Faltantes oriundos do agendamento da Regulação</v>
      </c>
    </row>
    <row r="72" spans="1:5" ht="51" customHeight="1">
      <c r="A72" s="316" t="s">
        <v>109</v>
      </c>
      <c r="B72" s="247">
        <v>10</v>
      </c>
      <c r="C72" s="247">
        <v>10</v>
      </c>
      <c r="D72" s="247">
        <v>6</v>
      </c>
      <c r="E72" s="330">
        <f>C72-D72</f>
        <v>4</v>
      </c>
    </row>
    <row r="73" spans="1:5" ht="19.5" customHeight="1">
      <c r="A73" s="317" t="s">
        <v>14</v>
      </c>
      <c r="B73" s="318">
        <f>SUM(B72:B72)</f>
        <v>10</v>
      </c>
      <c r="C73" s="318">
        <f>SUM(C72:C72)</f>
        <v>10</v>
      </c>
      <c r="D73" s="318">
        <f>SUM(D72:D72)</f>
        <v>6</v>
      </c>
      <c r="E73" s="319">
        <f>SUM(E72:E72)</f>
        <v>4</v>
      </c>
    </row>
    <row r="74" spans="1:5" ht="19.5" customHeight="1">
      <c r="A74" s="249"/>
      <c r="E74" s="320"/>
    </row>
    <row r="75" spans="1:5" ht="19.5" customHeight="1">
      <c r="A75" s="476" t="s">
        <v>124</v>
      </c>
      <c r="B75" s="477"/>
      <c r="C75" s="477"/>
      <c r="D75" s="477"/>
      <c r="E75" s="478"/>
    </row>
    <row r="76" spans="1:5" ht="90" customHeight="1">
      <c r="A76" s="311" t="s">
        <v>80</v>
      </c>
      <c r="B76" s="312" t="str">
        <f>B71</f>
        <v>Nº de Consultas disponibilizadas para Regulação</v>
      </c>
      <c r="C76" s="312" t="str">
        <f>C71</f>
        <v>Nº de Consultas agendadas com os pacientes oriundos da Regulação</v>
      </c>
      <c r="D76" s="312" t="str">
        <f>D71</f>
        <v>Nº de Consultas Realizadas com os pacientes oriundos da Regulação**</v>
      </c>
      <c r="E76" s="331" t="str">
        <f>E71</f>
        <v>Nº de Pacientes Faltantes oriundos do agendamento da Regulação</v>
      </c>
    </row>
    <row r="77" spans="1:5" ht="19.5" customHeight="1">
      <c r="A77" s="316" t="s">
        <v>112</v>
      </c>
      <c r="B77" s="247">
        <v>3</v>
      </c>
      <c r="C77" s="247">
        <v>3</v>
      </c>
      <c r="D77" s="247">
        <v>1</v>
      </c>
      <c r="E77" s="330">
        <f>C77-D77</f>
        <v>2</v>
      </c>
    </row>
    <row r="78" spans="1:5" ht="19.5" customHeight="1">
      <c r="A78" s="317" t="s">
        <v>14</v>
      </c>
      <c r="B78" s="318">
        <f>SUM(B77:B77)</f>
        <v>3</v>
      </c>
      <c r="C78" s="318">
        <f>SUM(C77:C77)</f>
        <v>3</v>
      </c>
      <c r="D78" s="318">
        <f>SUM(D77:D77)</f>
        <v>1</v>
      </c>
      <c r="E78" s="319">
        <f>SUM(E77:E77)</f>
        <v>2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zoomScaleNormal="100" zoomScaleSheetLayoutView="100" workbookViewId="0">
      <selection activeCell="O28" sqref="O28"/>
    </sheetView>
  </sheetViews>
  <sheetFormatPr defaultColWidth="28" defaultRowHeight="18" customHeight="1"/>
  <cols>
    <col min="1" max="1" width="30.85546875" style="246" customWidth="1"/>
    <col min="2" max="2" width="14.7109375" style="246" customWidth="1"/>
    <col min="3" max="3" width="18.28515625" style="246" customWidth="1"/>
    <col min="4" max="4" width="22.5703125" style="246" customWidth="1"/>
    <col min="5" max="16384" width="28" style="246"/>
  </cols>
  <sheetData>
    <row r="1" spans="1:15" ht="19.5" customHeight="1">
      <c r="A1" s="505" t="s">
        <v>125</v>
      </c>
      <c r="B1" s="506"/>
      <c r="C1" s="506"/>
      <c r="D1" s="506"/>
      <c r="E1" s="506"/>
      <c r="F1" s="506"/>
      <c r="G1" s="248"/>
      <c r="H1" s="248"/>
      <c r="I1" s="248"/>
      <c r="J1" s="248"/>
      <c r="K1" s="248"/>
      <c r="L1" s="248"/>
      <c r="M1" s="279"/>
      <c r="N1" s="280"/>
      <c r="O1" s="280"/>
    </row>
    <row r="2" spans="1:15" ht="18" customHeight="1">
      <c r="A2" s="249"/>
    </row>
    <row r="3" spans="1:15" ht="18" customHeight="1">
      <c r="A3" s="250" t="s">
        <v>6</v>
      </c>
      <c r="B3" s="456" t="s">
        <v>3</v>
      </c>
      <c r="C3" s="456"/>
      <c r="D3" s="456"/>
    </row>
    <row r="4" spans="1:15" ht="18" customHeight="1">
      <c r="A4" s="250" t="s">
        <v>7</v>
      </c>
      <c r="B4" s="457">
        <f>Leitos!B4</f>
        <v>45870</v>
      </c>
      <c r="C4" s="457"/>
      <c r="D4" s="457"/>
    </row>
    <row r="6" spans="1:15" ht="18" customHeight="1">
      <c r="A6" s="458" t="s">
        <v>126</v>
      </c>
      <c r="B6" s="459"/>
      <c r="C6" s="459"/>
      <c r="D6" s="460"/>
    </row>
    <row r="7" spans="1:15" ht="48" customHeight="1">
      <c r="A7" s="281"/>
      <c r="B7" s="282" t="s">
        <v>127</v>
      </c>
      <c r="C7" s="282" t="s">
        <v>128</v>
      </c>
      <c r="D7" s="283" t="s">
        <v>129</v>
      </c>
    </row>
    <row r="8" spans="1:15" ht="18" customHeight="1">
      <c r="A8" s="284" t="s">
        <v>130</v>
      </c>
      <c r="B8" s="247">
        <v>89</v>
      </c>
      <c r="C8" s="247">
        <f>35+1</f>
        <v>36</v>
      </c>
      <c r="D8" s="285">
        <f>SUM(B8:C8)</f>
        <v>125</v>
      </c>
    </row>
    <row r="9" spans="1:15" ht="18" customHeight="1">
      <c r="A9" s="284" t="s">
        <v>131</v>
      </c>
      <c r="B9" s="247">
        <v>211</v>
      </c>
      <c r="C9" s="247">
        <f>10+5</f>
        <v>15</v>
      </c>
      <c r="D9" s="285">
        <f t="shared" ref="D9:D15" si="0">SUM(B9:C9)</f>
        <v>226</v>
      </c>
    </row>
    <row r="10" spans="1:15" ht="18" customHeight="1">
      <c r="A10" s="284" t="s">
        <v>132</v>
      </c>
      <c r="B10" s="247">
        <v>0</v>
      </c>
      <c r="C10" s="247">
        <f>13+458+614</f>
        <v>1085</v>
      </c>
      <c r="D10" s="285">
        <f>SUM(B10:C10)</f>
        <v>1085</v>
      </c>
    </row>
    <row r="11" spans="1:15" ht="18" customHeight="1">
      <c r="A11" s="284" t="s">
        <v>133</v>
      </c>
      <c r="B11" s="247">
        <v>219</v>
      </c>
      <c r="C11" s="247">
        <v>18</v>
      </c>
      <c r="D11" s="285">
        <f t="shared" si="0"/>
        <v>237</v>
      </c>
    </row>
    <row r="12" spans="1:15" ht="18" customHeight="1">
      <c r="A12" s="284" t="s">
        <v>134</v>
      </c>
      <c r="B12" s="247">
        <v>784</v>
      </c>
      <c r="C12" s="247">
        <f>324+44+5</f>
        <v>373</v>
      </c>
      <c r="D12" s="285">
        <f t="shared" si="0"/>
        <v>1157</v>
      </c>
    </row>
    <row r="13" spans="1:15" ht="18" customHeight="1">
      <c r="A13" s="284" t="s">
        <v>135</v>
      </c>
      <c r="B13" s="247">
        <v>6</v>
      </c>
      <c r="C13" s="247">
        <v>0</v>
      </c>
      <c r="D13" s="285">
        <f t="shared" si="0"/>
        <v>6</v>
      </c>
    </row>
    <row r="14" spans="1:15" ht="18" customHeight="1">
      <c r="A14" s="284" t="s">
        <v>136</v>
      </c>
      <c r="B14" s="247">
        <v>152</v>
      </c>
      <c r="C14" s="247">
        <v>326</v>
      </c>
      <c r="D14" s="285">
        <f t="shared" si="0"/>
        <v>478</v>
      </c>
    </row>
    <row r="15" spans="1:15" ht="18" customHeight="1">
      <c r="A15" s="284" t="s">
        <v>137</v>
      </c>
      <c r="B15" s="247">
        <v>407</v>
      </c>
      <c r="C15" s="247">
        <v>146</v>
      </c>
      <c r="D15" s="285">
        <f t="shared" si="0"/>
        <v>553</v>
      </c>
    </row>
    <row r="16" spans="1:15" ht="18" customHeight="1">
      <c r="A16" s="286" t="s">
        <v>14</v>
      </c>
      <c r="B16" s="287">
        <f>SUM(B8:B15)</f>
        <v>1868</v>
      </c>
      <c r="C16" s="287">
        <f>SUM(C8:C15)</f>
        <v>1999</v>
      </c>
      <c r="D16" s="288">
        <f>SUM(D8:D15)</f>
        <v>3867</v>
      </c>
    </row>
    <row r="17" spans="1:6" ht="57.95" customHeight="1">
      <c r="A17" s="507" t="s">
        <v>138</v>
      </c>
      <c r="B17" s="507"/>
      <c r="C17" s="507"/>
      <c r="D17" s="507"/>
    </row>
    <row r="18" spans="1:6" ht="15" customHeight="1">
      <c r="A18" s="289"/>
      <c r="B18" s="289"/>
      <c r="C18" s="289"/>
      <c r="D18" s="289"/>
    </row>
    <row r="19" spans="1:6" ht="15" customHeight="1">
      <c r="A19" s="500" t="s">
        <v>139</v>
      </c>
      <c r="B19" s="501"/>
      <c r="C19" s="501"/>
      <c r="D19" s="501"/>
      <c r="E19" s="501"/>
      <c r="F19" s="502"/>
    </row>
    <row r="20" spans="1:6" ht="15" customHeight="1">
      <c r="A20" s="494" t="s">
        <v>80</v>
      </c>
      <c r="B20" s="495"/>
      <c r="C20" s="492" t="s">
        <v>140</v>
      </c>
      <c r="D20" s="492" t="s">
        <v>141</v>
      </c>
      <c r="E20" s="492" t="s">
        <v>142</v>
      </c>
      <c r="F20" s="503" t="s">
        <v>143</v>
      </c>
    </row>
    <row r="21" spans="1:6" ht="32.1" customHeight="1">
      <c r="A21" s="496"/>
      <c r="B21" s="497"/>
      <c r="C21" s="493"/>
      <c r="D21" s="493"/>
      <c r="E21" s="493"/>
      <c r="F21" s="504"/>
    </row>
    <row r="22" spans="1:6" ht="15" customHeight="1">
      <c r="A22" s="485" t="str">
        <f>A8</f>
        <v>Colonoscopia</v>
      </c>
      <c r="B22" s="486"/>
      <c r="C22" s="290">
        <v>100</v>
      </c>
      <c r="D22" s="290">
        <v>100</v>
      </c>
      <c r="E22" s="290">
        <v>89</v>
      </c>
      <c r="F22" s="291">
        <f>D22-E22</f>
        <v>11</v>
      </c>
    </row>
    <row r="23" spans="1:6" ht="15" customHeight="1">
      <c r="A23" s="485" t="str">
        <f t="shared" ref="A23:A29" si="1">A9</f>
        <v>Endoscopia</v>
      </c>
      <c r="B23" s="486"/>
      <c r="C23" s="290">
        <v>250</v>
      </c>
      <c r="D23" s="290">
        <v>240</v>
      </c>
      <c r="E23" s="290">
        <v>211</v>
      </c>
      <c r="F23" s="291">
        <f t="shared" ref="F23:F29" si="2">D23-E23</f>
        <v>29</v>
      </c>
    </row>
    <row r="24" spans="1:6" ht="15" customHeight="1">
      <c r="A24" s="485" t="str">
        <f t="shared" si="1"/>
        <v>Exames de Anatomia Patológica</v>
      </c>
      <c r="B24" s="486"/>
      <c r="C24" s="290">
        <v>0</v>
      </c>
      <c r="D24" s="290">
        <v>0</v>
      </c>
      <c r="E24" s="290">
        <v>0</v>
      </c>
      <c r="F24" s="291">
        <f t="shared" si="2"/>
        <v>0</v>
      </c>
    </row>
    <row r="25" spans="1:6" ht="15" customHeight="1">
      <c r="A25" s="485" t="str">
        <f t="shared" si="1"/>
        <v>Mamografia</v>
      </c>
      <c r="B25" s="486"/>
      <c r="C25" s="290">
        <v>250</v>
      </c>
      <c r="D25" s="290">
        <v>248</v>
      </c>
      <c r="E25" s="290">
        <v>219</v>
      </c>
      <c r="F25" s="291">
        <f t="shared" si="2"/>
        <v>29</v>
      </c>
    </row>
    <row r="26" spans="1:6" ht="15" customHeight="1">
      <c r="A26" s="485" t="str">
        <f t="shared" si="1"/>
        <v>Radiologia</v>
      </c>
      <c r="B26" s="486"/>
      <c r="C26" s="290">
        <v>1000</v>
      </c>
      <c r="D26" s="290">
        <v>908</v>
      </c>
      <c r="E26" s="290">
        <v>784</v>
      </c>
      <c r="F26" s="291">
        <f t="shared" si="2"/>
        <v>124</v>
      </c>
    </row>
    <row r="27" spans="1:6" ht="15" customHeight="1">
      <c r="A27" s="485" t="str">
        <f t="shared" si="1"/>
        <v>Retinografia Colorida Binocular</v>
      </c>
      <c r="B27" s="486"/>
      <c r="C27" s="290">
        <v>10</v>
      </c>
      <c r="D27" s="290">
        <v>6</v>
      </c>
      <c r="E27" s="290">
        <v>6</v>
      </c>
      <c r="F27" s="291">
        <f t="shared" si="2"/>
        <v>0</v>
      </c>
    </row>
    <row r="28" spans="1:6" ht="15" customHeight="1">
      <c r="A28" s="485" t="str">
        <f t="shared" si="1"/>
        <v>Tomografia/Angiotomografia</v>
      </c>
      <c r="B28" s="486"/>
      <c r="C28" s="290">
        <v>400</v>
      </c>
      <c r="D28" s="290">
        <v>161</v>
      </c>
      <c r="E28" s="290">
        <v>152</v>
      </c>
      <c r="F28" s="291">
        <f t="shared" si="2"/>
        <v>9</v>
      </c>
    </row>
    <row r="29" spans="1:6" ht="15" customHeight="1">
      <c r="A29" s="485" t="str">
        <f t="shared" si="1"/>
        <v>Ultrassonografia</v>
      </c>
      <c r="B29" s="486"/>
      <c r="C29" s="290">
        <v>600</v>
      </c>
      <c r="D29" s="290">
        <v>484</v>
      </c>
      <c r="E29" s="290">
        <v>407</v>
      </c>
      <c r="F29" s="291">
        <f t="shared" si="2"/>
        <v>77</v>
      </c>
    </row>
    <row r="30" spans="1:6" ht="15" customHeight="1">
      <c r="A30" s="498"/>
      <c r="B30" s="499"/>
      <c r="C30" s="287">
        <f>SUM(C22:C29)</f>
        <v>2610</v>
      </c>
      <c r="D30" s="287">
        <f>SUM(D22:D29)</f>
        <v>2147</v>
      </c>
      <c r="E30" s="287">
        <f>SUM(E22:E29)</f>
        <v>1868</v>
      </c>
      <c r="F30" s="288">
        <f>SUM(F22:F29)</f>
        <v>279</v>
      </c>
    </row>
    <row r="31" spans="1:6" ht="15" customHeight="1">
      <c r="A31" s="485"/>
      <c r="B31" s="486"/>
      <c r="C31" s="289"/>
      <c r="D31" s="289"/>
    </row>
    <row r="32" spans="1:6" ht="18" customHeight="1">
      <c r="A32" s="487" t="s">
        <v>144</v>
      </c>
      <c r="B32" s="488"/>
      <c r="C32" s="488"/>
      <c r="D32" s="489"/>
    </row>
    <row r="33" spans="1:5" ht="18" customHeight="1">
      <c r="A33" s="292"/>
      <c r="B33" s="293"/>
      <c r="C33" s="293"/>
      <c r="D33" s="294" t="s">
        <v>145</v>
      </c>
    </row>
    <row r="34" spans="1:5" ht="18" customHeight="1">
      <c r="A34" s="295" t="s">
        <v>146</v>
      </c>
      <c r="B34" s="293"/>
      <c r="C34" s="293"/>
      <c r="D34" s="296">
        <v>369</v>
      </c>
    </row>
    <row r="35" spans="1:5" ht="18" customHeight="1">
      <c r="A35" s="295" t="s">
        <v>147</v>
      </c>
      <c r="B35" s="293"/>
      <c r="C35" s="293"/>
      <c r="D35" s="296">
        <v>212</v>
      </c>
    </row>
    <row r="36" spans="1:5" ht="18" customHeight="1">
      <c r="A36" s="295" t="s">
        <v>148</v>
      </c>
      <c r="B36" s="293"/>
      <c r="C36" s="293"/>
      <c r="D36" s="296">
        <v>6</v>
      </c>
    </row>
    <row r="37" spans="1:5" ht="18" customHeight="1">
      <c r="A37" s="295" t="s">
        <v>149</v>
      </c>
      <c r="B37" s="293"/>
      <c r="C37" s="293"/>
      <c r="D37" s="296">
        <v>12</v>
      </c>
    </row>
    <row r="38" spans="1:5" ht="18" customHeight="1">
      <c r="A38" s="295" t="s">
        <v>150</v>
      </c>
      <c r="B38" s="293"/>
      <c r="C38" s="293"/>
      <c r="D38" s="296">
        <v>0</v>
      </c>
      <c r="E38" s="297"/>
    </row>
    <row r="39" spans="1:5" ht="18" customHeight="1">
      <c r="A39" s="295" t="s">
        <v>151</v>
      </c>
      <c r="B39" s="293"/>
      <c r="C39" s="293"/>
      <c r="D39" s="298">
        <v>406</v>
      </c>
    </row>
    <row r="40" spans="1:5" ht="18" customHeight="1">
      <c r="A40" s="295" t="s">
        <v>152</v>
      </c>
      <c r="B40" s="293"/>
      <c r="C40" s="293"/>
      <c r="D40" s="273">
        <v>163</v>
      </c>
    </row>
    <row r="41" spans="1:5" ht="18" customHeight="1">
      <c r="A41" s="299" t="s">
        <v>153</v>
      </c>
      <c r="B41" s="300"/>
      <c r="C41" s="300"/>
      <c r="D41" s="301">
        <v>138</v>
      </c>
    </row>
    <row r="42" spans="1:5" ht="18" customHeight="1">
      <c r="A42" s="295" t="s">
        <v>154</v>
      </c>
      <c r="B42" s="293"/>
      <c r="C42" s="293"/>
      <c r="D42" s="273">
        <v>6396</v>
      </c>
    </row>
    <row r="43" spans="1:5" ht="18" customHeight="1">
      <c r="A43" s="302" t="s">
        <v>14</v>
      </c>
      <c r="B43" s="303"/>
      <c r="C43" s="303"/>
      <c r="D43" s="304">
        <f>SUM(D34:D42)</f>
        <v>7702</v>
      </c>
    </row>
    <row r="44" spans="1:5" ht="18" customHeight="1">
      <c r="A44" s="295"/>
      <c r="B44" s="293"/>
      <c r="C44" s="293"/>
      <c r="D44" s="305"/>
    </row>
    <row r="45" spans="1:5" ht="18" customHeight="1">
      <c r="A45" s="487" t="s">
        <v>155</v>
      </c>
      <c r="B45" s="488"/>
      <c r="C45" s="488"/>
      <c r="D45" s="489"/>
    </row>
    <row r="46" spans="1:5" ht="18" customHeight="1">
      <c r="A46" s="490"/>
      <c r="B46" s="491"/>
      <c r="C46" s="491"/>
      <c r="D46" s="294" t="s">
        <v>145</v>
      </c>
    </row>
    <row r="47" spans="1:5" ht="18" customHeight="1">
      <c r="A47" s="295" t="s">
        <v>146</v>
      </c>
      <c r="B47" s="293"/>
      <c r="C47" s="293"/>
      <c r="D47" s="273">
        <v>85</v>
      </c>
    </row>
    <row r="48" spans="1:5" ht="18" customHeight="1">
      <c r="A48" s="295" t="s">
        <v>147</v>
      </c>
      <c r="B48" s="293"/>
      <c r="C48" s="293"/>
      <c r="D48" s="273">
        <f>50-13</f>
        <v>37</v>
      </c>
    </row>
    <row r="49" spans="1:5" ht="18" customHeight="1">
      <c r="A49" s="295" t="s">
        <v>148</v>
      </c>
      <c r="B49" s="293"/>
      <c r="C49" s="293"/>
      <c r="D49" s="273">
        <v>1</v>
      </c>
    </row>
    <row r="50" spans="1:5" ht="18" customHeight="1">
      <c r="A50" s="295" t="s">
        <v>149</v>
      </c>
      <c r="B50" s="293"/>
      <c r="C50" s="293"/>
      <c r="D50" s="273">
        <v>11</v>
      </c>
    </row>
    <row r="51" spans="1:5" ht="18" customHeight="1">
      <c r="A51" s="295" t="s">
        <v>150</v>
      </c>
      <c r="B51" s="293"/>
      <c r="C51" s="293"/>
      <c r="D51" s="273">
        <v>0</v>
      </c>
    </row>
    <row r="52" spans="1:5" ht="18" customHeight="1">
      <c r="A52" s="295" t="s">
        <v>151</v>
      </c>
      <c r="B52" s="293"/>
      <c r="C52" s="293"/>
      <c r="D52" s="296">
        <v>1320</v>
      </c>
    </row>
    <row r="53" spans="1:5" ht="18" customHeight="1">
      <c r="A53" s="295" t="s">
        <v>152</v>
      </c>
      <c r="B53" s="293"/>
      <c r="C53" s="293"/>
      <c r="D53" s="296">
        <v>823</v>
      </c>
    </row>
    <row r="54" spans="1:5" ht="18" customHeight="1">
      <c r="A54" s="299" t="s">
        <v>153</v>
      </c>
      <c r="B54" s="300"/>
      <c r="C54" s="300"/>
      <c r="D54" s="301">
        <v>137</v>
      </c>
    </row>
    <row r="55" spans="1:5" ht="18" customHeight="1">
      <c r="A55" s="295" t="s">
        <v>154</v>
      </c>
      <c r="B55" s="293"/>
      <c r="C55" s="293"/>
      <c r="D55" s="296">
        <v>11235</v>
      </c>
    </row>
    <row r="56" spans="1:5" ht="18" customHeight="1">
      <c r="A56" s="302" t="s">
        <v>14</v>
      </c>
      <c r="B56" s="303"/>
      <c r="C56" s="303"/>
      <c r="D56" s="304">
        <f>SUM(D47:D55)</f>
        <v>13649</v>
      </c>
    </row>
    <row r="57" spans="1:5" ht="18" customHeight="1">
      <c r="A57" s="295"/>
      <c r="B57" s="293"/>
      <c r="C57" s="293"/>
      <c r="D57" s="306"/>
    </row>
    <row r="58" spans="1:5" ht="18" customHeight="1">
      <c r="A58" s="295"/>
      <c r="B58" s="293"/>
      <c r="C58" s="293"/>
      <c r="D58" s="293"/>
    </row>
    <row r="60" spans="1:5" ht="18" customHeight="1">
      <c r="A60" s="295"/>
      <c r="B60" s="293"/>
      <c r="C60" s="293"/>
      <c r="D60" s="293"/>
    </row>
    <row r="64" spans="1:5" ht="48" customHeight="1">
      <c r="E64" s="307"/>
    </row>
    <row r="65" spans="5:5" ht="18" customHeight="1">
      <c r="E65" s="307"/>
    </row>
    <row r="74" spans="5:5" ht="60" customHeight="1"/>
  </sheetData>
  <mergeCells count="24">
    <mergeCell ref="A1:F1"/>
    <mergeCell ref="B3:D3"/>
    <mergeCell ref="B4:D4"/>
    <mergeCell ref="A6:D6"/>
    <mergeCell ref="A17:D17"/>
    <mergeCell ref="A19:F19"/>
    <mergeCell ref="A22:B22"/>
    <mergeCell ref="A23:B23"/>
    <mergeCell ref="A24:B24"/>
    <mergeCell ref="A25:B25"/>
    <mergeCell ref="E20:E21"/>
    <mergeCell ref="F20:F21"/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07"/>
  <sheetViews>
    <sheetView tabSelected="1" view="pageLayout" topLeftCell="A13" zoomScale="90" zoomScaleNormal="100" zoomScaleSheetLayoutView="100" zoomScalePageLayoutView="90" workbookViewId="0">
      <selection activeCell="A57" sqref="A57"/>
    </sheetView>
  </sheetViews>
  <sheetFormatPr defaultColWidth="9.140625" defaultRowHeight="19.5" customHeight="1"/>
  <cols>
    <col min="1" max="1" width="55.85546875" style="246" customWidth="1"/>
    <col min="2" max="2" width="45" style="246" customWidth="1"/>
    <col min="3" max="3" width="20.5703125" style="247" customWidth="1"/>
    <col min="4" max="4" width="4.140625" style="246" customWidth="1"/>
    <col min="5" max="16384" width="9.140625" style="246"/>
  </cols>
  <sheetData>
    <row r="1" spans="1:12" ht="19.5" customHeight="1">
      <c r="A1" s="442" t="s">
        <v>156</v>
      </c>
      <c r="B1" s="443"/>
      <c r="C1" s="443"/>
      <c r="D1" s="248"/>
      <c r="E1" s="248"/>
      <c r="F1" s="248"/>
      <c r="G1" s="248"/>
      <c r="H1" s="248"/>
      <c r="I1" s="248"/>
      <c r="J1" s="279"/>
      <c r="K1" s="280"/>
      <c r="L1" s="280"/>
    </row>
    <row r="2" spans="1:12" ht="19.5" customHeight="1">
      <c r="A2" s="249"/>
    </row>
    <row r="3" spans="1:12" ht="19.5" customHeight="1">
      <c r="A3" s="250" t="s">
        <v>6</v>
      </c>
      <c r="B3" s="535" t="s">
        <v>3</v>
      </c>
      <c r="C3" s="535"/>
    </row>
    <row r="4" spans="1:12" ht="19.5" customHeight="1">
      <c r="A4" s="250" t="s">
        <v>7</v>
      </c>
      <c r="B4" s="457">
        <f>Leitos!B4</f>
        <v>45870</v>
      </c>
      <c r="C4" s="457"/>
    </row>
    <row r="5" spans="1:12" ht="19.5" customHeight="1">
      <c r="A5" s="249"/>
    </row>
    <row r="6" spans="1:12" ht="19.5" customHeight="1">
      <c r="A6" s="536" t="s">
        <v>157</v>
      </c>
      <c r="B6" s="537"/>
      <c r="C6" s="538"/>
    </row>
    <row r="7" spans="1:12" ht="19.5" customHeight="1">
      <c r="A7" s="539"/>
      <c r="B7" s="540"/>
      <c r="C7" s="252" t="s">
        <v>41</v>
      </c>
    </row>
    <row r="8" spans="1:12" ht="19.5" customHeight="1">
      <c r="A8" s="533" t="s">
        <v>158</v>
      </c>
      <c r="B8" s="534"/>
      <c r="C8" s="253">
        <f>C158</f>
        <v>466</v>
      </c>
    </row>
    <row r="9" spans="1:12" ht="19.5" customHeight="1">
      <c r="A9" s="533" t="s">
        <v>159</v>
      </c>
      <c r="B9" s="534"/>
      <c r="C9" s="253">
        <f>C201</f>
        <v>67</v>
      </c>
    </row>
    <row r="10" spans="1:12" ht="19.5" customHeight="1">
      <c r="A10" s="527" t="s">
        <v>160</v>
      </c>
      <c r="B10" s="528"/>
      <c r="C10" s="254">
        <f>SUM(C8:C9)</f>
        <v>533</v>
      </c>
    </row>
    <row r="11" spans="1:12" ht="19.5" customHeight="1">
      <c r="A11" s="255"/>
      <c r="B11" s="256"/>
      <c r="C11" s="256"/>
    </row>
    <row r="12" spans="1:12" ht="19.5" customHeight="1">
      <c r="A12" s="508" t="s">
        <v>161</v>
      </c>
      <c r="B12" s="509"/>
      <c r="C12" s="510"/>
    </row>
    <row r="13" spans="1:12" ht="19.5" customHeight="1">
      <c r="A13" s="515"/>
      <c r="B13" s="516"/>
      <c r="C13" s="257" t="s">
        <v>41</v>
      </c>
    </row>
    <row r="14" spans="1:12" ht="19.5" customHeight="1">
      <c r="A14" s="525" t="s">
        <v>162</v>
      </c>
      <c r="B14" s="526"/>
      <c r="C14" s="258">
        <v>143</v>
      </c>
    </row>
    <row r="15" spans="1:12" ht="19.5" customHeight="1">
      <c r="A15" s="525" t="s">
        <v>163</v>
      </c>
      <c r="B15" s="526"/>
      <c r="C15" s="258">
        <v>390</v>
      </c>
    </row>
    <row r="16" spans="1:12" ht="19.5" customHeight="1">
      <c r="A16" s="527" t="s">
        <v>160</v>
      </c>
      <c r="B16" s="528"/>
      <c r="C16" s="259">
        <f>SUM(C14:C15)</f>
        <v>533</v>
      </c>
      <c r="D16" s="260" t="str">
        <f>IF(C16=C10,"ok","rever")</f>
        <v>ok</v>
      </c>
    </row>
    <row r="17" spans="1:3" ht="48.95" customHeight="1">
      <c r="A17" s="529" t="s">
        <v>164</v>
      </c>
      <c r="B17" s="530"/>
      <c r="C17" s="530"/>
    </row>
    <row r="18" spans="1:3" ht="19.5" customHeight="1">
      <c r="A18" s="531"/>
      <c r="B18" s="532"/>
      <c r="C18" s="261"/>
    </row>
    <row r="19" spans="1:3" ht="19.5" customHeight="1">
      <c r="A19" s="444" t="s">
        <v>165</v>
      </c>
      <c r="B19" s="445"/>
      <c r="C19" s="446"/>
    </row>
    <row r="20" spans="1:3" ht="19.5" customHeight="1">
      <c r="A20" s="519"/>
      <c r="B20" s="520"/>
      <c r="C20" s="262" t="s">
        <v>41</v>
      </c>
    </row>
    <row r="21" spans="1:3" ht="19.5" customHeight="1">
      <c r="A21" s="521" t="s">
        <v>166</v>
      </c>
      <c r="B21" s="522"/>
      <c r="C21" s="263">
        <f>C14/C16</f>
        <v>0.26829268292682928</v>
      </c>
    </row>
    <row r="22" spans="1:3" ht="19.5" customHeight="1">
      <c r="A22" s="523" t="s">
        <v>167</v>
      </c>
      <c r="B22" s="524"/>
      <c r="C22" s="264">
        <f>C15/C16</f>
        <v>0.73170731707317072</v>
      </c>
    </row>
    <row r="23" spans="1:3" ht="19.5" customHeight="1">
      <c r="A23" s="462"/>
      <c r="B23" s="462"/>
      <c r="C23" s="262"/>
    </row>
    <row r="24" spans="1:3" ht="19.5" customHeight="1">
      <c r="A24" s="508" t="s">
        <v>168</v>
      </c>
      <c r="B24" s="509"/>
      <c r="C24" s="510"/>
    </row>
    <row r="25" spans="1:3" ht="19.5" customHeight="1">
      <c r="A25" s="515"/>
      <c r="B25" s="516"/>
      <c r="C25" s="257" t="s">
        <v>41</v>
      </c>
    </row>
    <row r="26" spans="1:3" ht="19.5" customHeight="1">
      <c r="A26" s="517" t="s">
        <v>169</v>
      </c>
      <c r="B26" s="518"/>
      <c r="C26" s="266">
        <v>4</v>
      </c>
    </row>
    <row r="27" spans="1:3" ht="19.5" customHeight="1">
      <c r="A27" s="265"/>
      <c r="B27" s="265"/>
      <c r="C27" s="267"/>
    </row>
    <row r="29" spans="1:3" ht="19.5" customHeight="1">
      <c r="A29" s="508" t="s">
        <v>170</v>
      </c>
      <c r="B29" s="509"/>
      <c r="C29" s="510"/>
    </row>
    <row r="30" spans="1:3" ht="19.5" customHeight="1" thickBot="1">
      <c r="A30" s="268"/>
      <c r="B30" s="269" t="s">
        <v>172</v>
      </c>
      <c r="C30" s="270" t="s">
        <v>41</v>
      </c>
    </row>
    <row r="31" spans="1:3" ht="19.5" customHeight="1">
      <c r="A31" s="415" t="s">
        <v>575</v>
      </c>
      <c r="B31" s="416"/>
      <c r="C31" s="417">
        <v>1</v>
      </c>
    </row>
    <row r="32" spans="1:3" ht="19.5" customHeight="1">
      <c r="A32" s="2" t="s">
        <v>576</v>
      </c>
      <c r="C32" s="418">
        <v>1</v>
      </c>
    </row>
    <row r="33" spans="1:3" ht="19.5" customHeight="1">
      <c r="A33" s="2" t="s">
        <v>577</v>
      </c>
      <c r="C33" s="418">
        <v>1</v>
      </c>
    </row>
    <row r="34" spans="1:3" ht="19.5" customHeight="1">
      <c r="A34" s="2" t="s">
        <v>578</v>
      </c>
      <c r="C34" s="418">
        <v>10</v>
      </c>
    </row>
    <row r="35" spans="1:3" ht="19.5" customHeight="1">
      <c r="A35" s="2" t="s">
        <v>579</v>
      </c>
      <c r="C35" s="418">
        <v>3</v>
      </c>
    </row>
    <row r="36" spans="1:3" ht="19.5" customHeight="1">
      <c r="A36" s="2" t="s">
        <v>579</v>
      </c>
      <c r="C36" s="418">
        <v>1</v>
      </c>
    </row>
    <row r="37" spans="1:3" ht="19.5" customHeight="1">
      <c r="A37" s="2" t="s">
        <v>579</v>
      </c>
      <c r="C37" s="418">
        <v>1</v>
      </c>
    </row>
    <row r="38" spans="1:3" ht="19.5" customHeight="1">
      <c r="A38" s="2" t="s">
        <v>580</v>
      </c>
      <c r="C38" s="418">
        <v>38</v>
      </c>
    </row>
    <row r="39" spans="1:3" ht="19.5" customHeight="1">
      <c r="A39" s="2" t="s">
        <v>562</v>
      </c>
      <c r="C39" s="418">
        <v>2</v>
      </c>
    </row>
    <row r="40" spans="1:3" ht="19.5" customHeight="1">
      <c r="A40" s="2" t="s">
        <v>581</v>
      </c>
      <c r="C40" s="418">
        <v>11</v>
      </c>
    </row>
    <row r="41" spans="1:3" ht="19.5" customHeight="1">
      <c r="A41" s="2" t="s">
        <v>582</v>
      </c>
      <c r="C41" s="418">
        <v>1</v>
      </c>
    </row>
    <row r="42" spans="1:3" ht="19.5" customHeight="1">
      <c r="A42" s="2" t="s">
        <v>583</v>
      </c>
      <c r="C42" s="418">
        <v>1</v>
      </c>
    </row>
    <row r="43" spans="1:3" ht="19.5" customHeight="1">
      <c r="A43" s="2" t="s">
        <v>584</v>
      </c>
      <c r="C43" s="418">
        <v>1</v>
      </c>
    </row>
    <row r="44" spans="1:3" ht="19.5" customHeight="1">
      <c r="A44" s="2" t="s">
        <v>585</v>
      </c>
      <c r="C44" s="418">
        <v>1</v>
      </c>
    </row>
    <row r="45" spans="1:3" ht="19.5" customHeight="1">
      <c r="A45" s="2" t="s">
        <v>586</v>
      </c>
      <c r="C45" s="418">
        <v>1</v>
      </c>
    </row>
    <row r="46" spans="1:3" ht="19.5" customHeight="1">
      <c r="A46" s="2" t="s">
        <v>587</v>
      </c>
      <c r="C46" s="418">
        <v>2</v>
      </c>
    </row>
    <row r="47" spans="1:3" ht="19.5" customHeight="1">
      <c r="A47" s="2" t="s">
        <v>588</v>
      </c>
      <c r="C47" s="418">
        <v>1</v>
      </c>
    </row>
    <row r="48" spans="1:3" ht="19.5" customHeight="1">
      <c r="A48" s="2" t="s">
        <v>589</v>
      </c>
      <c r="C48" s="418">
        <v>3</v>
      </c>
    </row>
    <row r="49" spans="1:3" ht="19.5" customHeight="1">
      <c r="A49" s="2" t="s">
        <v>590</v>
      </c>
      <c r="C49" s="418">
        <v>1</v>
      </c>
    </row>
    <row r="50" spans="1:3" ht="19.5" customHeight="1">
      <c r="A50" s="2" t="s">
        <v>591</v>
      </c>
      <c r="C50" s="418">
        <v>1</v>
      </c>
    </row>
    <row r="51" spans="1:3" ht="19.5" customHeight="1">
      <c r="A51" s="2" t="s">
        <v>592</v>
      </c>
      <c r="C51" s="418">
        <v>1</v>
      </c>
    </row>
    <row r="52" spans="1:3" ht="19.5" customHeight="1">
      <c r="A52" s="2" t="s">
        <v>593</v>
      </c>
      <c r="C52" s="418">
        <v>2</v>
      </c>
    </row>
    <row r="53" spans="1:3" ht="19.5" customHeight="1">
      <c r="A53" s="2" t="s">
        <v>594</v>
      </c>
      <c r="C53" s="418">
        <v>1</v>
      </c>
    </row>
    <row r="54" spans="1:3" ht="19.5" customHeight="1">
      <c r="A54" s="2" t="s">
        <v>595</v>
      </c>
      <c r="C54" s="418">
        <v>3</v>
      </c>
    </row>
    <row r="55" spans="1:3" ht="19.5" customHeight="1">
      <c r="A55" s="2" t="s">
        <v>596</v>
      </c>
      <c r="C55" s="418">
        <v>1</v>
      </c>
    </row>
    <row r="56" spans="1:3" ht="19.5" customHeight="1">
      <c r="A56" s="2" t="s">
        <v>559</v>
      </c>
      <c r="C56" s="418">
        <v>1</v>
      </c>
    </row>
    <row r="57" spans="1:3" ht="19.5" customHeight="1">
      <c r="A57" s="2" t="s">
        <v>597</v>
      </c>
      <c r="C57" s="418">
        <v>1</v>
      </c>
    </row>
    <row r="58" spans="1:3" ht="19.5" customHeight="1">
      <c r="A58" s="2" t="s">
        <v>598</v>
      </c>
      <c r="C58" s="418">
        <v>1</v>
      </c>
    </row>
    <row r="59" spans="1:3" ht="19.5" customHeight="1">
      <c r="A59" s="2" t="s">
        <v>599</v>
      </c>
      <c r="C59" s="418">
        <v>2</v>
      </c>
    </row>
    <row r="60" spans="1:3" ht="19.5" customHeight="1">
      <c r="A60" s="2" t="s">
        <v>600</v>
      </c>
      <c r="C60" s="418">
        <v>1</v>
      </c>
    </row>
    <row r="61" spans="1:3" ht="19.5" customHeight="1">
      <c r="A61" s="2" t="s">
        <v>601</v>
      </c>
      <c r="C61" s="418">
        <v>1</v>
      </c>
    </row>
    <row r="62" spans="1:3" ht="19.5" customHeight="1">
      <c r="A62" s="2" t="s">
        <v>602</v>
      </c>
      <c r="C62" s="418">
        <v>19</v>
      </c>
    </row>
    <row r="63" spans="1:3" ht="19.5" customHeight="1">
      <c r="A63" s="2" t="s">
        <v>603</v>
      </c>
      <c r="C63" s="418">
        <v>2</v>
      </c>
    </row>
    <row r="64" spans="1:3" ht="19.5" customHeight="1">
      <c r="A64" s="2" t="s">
        <v>604</v>
      </c>
      <c r="C64" s="418">
        <v>1</v>
      </c>
    </row>
    <row r="65" spans="1:3" ht="19.5" customHeight="1">
      <c r="A65" s="2" t="s">
        <v>605</v>
      </c>
      <c r="C65" s="418">
        <v>1</v>
      </c>
    </row>
    <row r="66" spans="1:3" ht="19.5" customHeight="1">
      <c r="A66" s="2" t="s">
        <v>606</v>
      </c>
      <c r="C66" s="418">
        <v>15</v>
      </c>
    </row>
    <row r="67" spans="1:3" ht="19.5" customHeight="1">
      <c r="A67" s="2" t="s">
        <v>607</v>
      </c>
      <c r="C67" s="418">
        <v>1</v>
      </c>
    </row>
    <row r="68" spans="1:3" ht="19.5" customHeight="1">
      <c r="A68" s="2" t="s">
        <v>608</v>
      </c>
      <c r="C68" s="418">
        <v>4</v>
      </c>
    </row>
    <row r="69" spans="1:3" ht="19.5" customHeight="1">
      <c r="A69" s="2" t="s">
        <v>609</v>
      </c>
      <c r="C69" s="418">
        <v>5</v>
      </c>
    </row>
    <row r="70" spans="1:3" ht="19.5" customHeight="1">
      <c r="A70" s="2" t="s">
        <v>610</v>
      </c>
      <c r="C70" s="418">
        <v>2</v>
      </c>
    </row>
    <row r="71" spans="1:3" ht="19.5" customHeight="1">
      <c r="A71" s="2" t="s">
        <v>611</v>
      </c>
      <c r="C71" s="418">
        <v>2</v>
      </c>
    </row>
    <row r="72" spans="1:3" ht="19.5" customHeight="1">
      <c r="A72" s="2" t="s">
        <v>612</v>
      </c>
      <c r="C72" s="418">
        <v>1</v>
      </c>
    </row>
    <row r="73" spans="1:3" ht="19.5" customHeight="1">
      <c r="A73" s="2" t="s">
        <v>613</v>
      </c>
      <c r="C73" s="418">
        <v>2</v>
      </c>
    </row>
    <row r="74" spans="1:3" ht="19.5" customHeight="1">
      <c r="A74" s="2" t="s">
        <v>614</v>
      </c>
      <c r="C74" s="418">
        <v>1</v>
      </c>
    </row>
    <row r="75" spans="1:3" ht="19.5" customHeight="1">
      <c r="A75" s="2" t="s">
        <v>615</v>
      </c>
      <c r="C75" s="418">
        <v>5</v>
      </c>
    </row>
    <row r="76" spans="1:3" ht="19.5" customHeight="1">
      <c r="A76" s="2" t="s">
        <v>616</v>
      </c>
      <c r="C76" s="418">
        <v>1</v>
      </c>
    </row>
    <row r="77" spans="1:3" ht="19.5" customHeight="1">
      <c r="A77" s="2" t="s">
        <v>617</v>
      </c>
      <c r="C77" s="418">
        <v>2</v>
      </c>
    </row>
    <row r="78" spans="1:3" ht="19.5" customHeight="1">
      <c r="A78" s="2" t="s">
        <v>618</v>
      </c>
      <c r="C78" s="418">
        <v>1</v>
      </c>
    </row>
    <row r="79" spans="1:3" ht="19.5" customHeight="1">
      <c r="A79" s="2" t="s">
        <v>619</v>
      </c>
      <c r="C79" s="418">
        <v>10</v>
      </c>
    </row>
    <row r="80" spans="1:3" ht="19.5" customHeight="1">
      <c r="A80" s="2" t="s">
        <v>620</v>
      </c>
      <c r="C80" s="418">
        <v>4</v>
      </c>
    </row>
    <row r="81" spans="1:3" ht="19.5" customHeight="1">
      <c r="A81" s="2" t="s">
        <v>621</v>
      </c>
      <c r="C81" s="418">
        <v>1</v>
      </c>
    </row>
    <row r="82" spans="1:3" ht="19.5" customHeight="1">
      <c r="A82" s="2" t="s">
        <v>622</v>
      </c>
      <c r="C82" s="418">
        <v>2</v>
      </c>
    </row>
    <row r="83" spans="1:3" ht="19.5" customHeight="1">
      <c r="A83" s="2" t="s">
        <v>623</v>
      </c>
      <c r="C83" s="418">
        <v>1</v>
      </c>
    </row>
    <row r="84" spans="1:3" ht="19.5" customHeight="1">
      <c r="A84" s="2" t="s">
        <v>624</v>
      </c>
      <c r="C84" s="418">
        <v>5</v>
      </c>
    </row>
    <row r="85" spans="1:3" ht="19.5" customHeight="1">
      <c r="A85" s="2" t="s">
        <v>625</v>
      </c>
      <c r="C85" s="418">
        <v>2</v>
      </c>
    </row>
    <row r="86" spans="1:3" ht="19.5" customHeight="1">
      <c r="A86" s="2" t="s">
        <v>626</v>
      </c>
      <c r="C86" s="418">
        <v>1</v>
      </c>
    </row>
    <row r="87" spans="1:3" ht="19.5" customHeight="1">
      <c r="A87" s="2" t="s">
        <v>627</v>
      </c>
      <c r="C87" s="418">
        <v>2</v>
      </c>
    </row>
    <row r="88" spans="1:3" ht="19.5" customHeight="1">
      <c r="A88" s="2" t="s">
        <v>628</v>
      </c>
      <c r="C88" s="418">
        <v>32</v>
      </c>
    </row>
    <row r="89" spans="1:3" ht="19.5" customHeight="1">
      <c r="A89" s="2" t="s">
        <v>629</v>
      </c>
      <c r="C89" s="418">
        <v>3</v>
      </c>
    </row>
    <row r="90" spans="1:3" ht="19.5" customHeight="1">
      <c r="A90" s="2" t="s">
        <v>630</v>
      </c>
      <c r="C90" s="418">
        <v>23</v>
      </c>
    </row>
    <row r="91" spans="1:3" ht="19.5" customHeight="1">
      <c r="A91" s="2" t="s">
        <v>631</v>
      </c>
      <c r="C91" s="418">
        <v>2</v>
      </c>
    </row>
    <row r="92" spans="1:3" ht="19.5" customHeight="1">
      <c r="A92" s="2" t="s">
        <v>632</v>
      </c>
      <c r="C92" s="418">
        <v>1</v>
      </c>
    </row>
    <row r="93" spans="1:3" ht="19.5" customHeight="1">
      <c r="A93" s="2" t="s">
        <v>633</v>
      </c>
      <c r="C93" s="418">
        <v>4</v>
      </c>
    </row>
    <row r="94" spans="1:3" ht="19.5" customHeight="1">
      <c r="A94" s="2" t="s">
        <v>634</v>
      </c>
      <c r="C94" s="418">
        <v>4</v>
      </c>
    </row>
    <row r="95" spans="1:3" ht="19.5" customHeight="1">
      <c r="A95" s="2" t="s">
        <v>561</v>
      </c>
      <c r="C95" s="418">
        <v>1</v>
      </c>
    </row>
    <row r="96" spans="1:3" ht="19.5" customHeight="1">
      <c r="A96" s="2" t="s">
        <v>635</v>
      </c>
      <c r="C96" s="418">
        <v>1</v>
      </c>
    </row>
    <row r="97" spans="1:3" ht="19.5" customHeight="1">
      <c r="A97" s="2" t="s">
        <v>636</v>
      </c>
      <c r="C97" s="418">
        <v>9</v>
      </c>
    </row>
    <row r="98" spans="1:3" ht="19.5" customHeight="1">
      <c r="A98" s="2" t="s">
        <v>637</v>
      </c>
      <c r="C98" s="418">
        <v>1</v>
      </c>
    </row>
    <row r="99" spans="1:3" ht="19.5" customHeight="1">
      <c r="A99" s="2" t="s">
        <v>638</v>
      </c>
      <c r="C99" s="418">
        <v>1</v>
      </c>
    </row>
    <row r="100" spans="1:3" ht="19.5" customHeight="1">
      <c r="A100" s="2" t="s">
        <v>639</v>
      </c>
      <c r="C100" s="418">
        <v>1</v>
      </c>
    </row>
    <row r="101" spans="1:3" ht="19.5" customHeight="1">
      <c r="A101" s="2" t="s">
        <v>640</v>
      </c>
      <c r="C101" s="418">
        <v>29</v>
      </c>
    </row>
    <row r="102" spans="1:3" ht="19.5" customHeight="1">
      <c r="A102" s="2" t="s">
        <v>641</v>
      </c>
      <c r="C102" s="418">
        <v>1</v>
      </c>
    </row>
    <row r="103" spans="1:3" ht="19.5" customHeight="1">
      <c r="A103" s="2" t="s">
        <v>642</v>
      </c>
      <c r="C103" s="418">
        <v>1</v>
      </c>
    </row>
    <row r="104" spans="1:3" ht="19.5" customHeight="1">
      <c r="A104" s="2" t="s">
        <v>643</v>
      </c>
      <c r="C104" s="418">
        <v>2</v>
      </c>
    </row>
    <row r="105" spans="1:3" ht="19.5" customHeight="1">
      <c r="A105" s="2" t="s">
        <v>644</v>
      </c>
      <c r="C105" s="418">
        <v>3</v>
      </c>
    </row>
    <row r="106" spans="1:3" ht="19.5" customHeight="1">
      <c r="A106" s="2" t="s">
        <v>645</v>
      </c>
      <c r="C106" s="418">
        <v>1</v>
      </c>
    </row>
    <row r="107" spans="1:3" ht="19.5" customHeight="1">
      <c r="A107" s="2" t="s">
        <v>646</v>
      </c>
      <c r="C107" s="418">
        <v>1</v>
      </c>
    </row>
    <row r="108" spans="1:3" ht="19.5" customHeight="1">
      <c r="A108" s="2" t="s">
        <v>647</v>
      </c>
      <c r="C108" s="418">
        <v>1</v>
      </c>
    </row>
    <row r="109" spans="1:3" ht="19.5" customHeight="1">
      <c r="A109" s="2" t="s">
        <v>648</v>
      </c>
      <c r="C109" s="418">
        <v>1</v>
      </c>
    </row>
    <row r="110" spans="1:3" ht="19.5" customHeight="1">
      <c r="A110" s="2" t="s">
        <v>649</v>
      </c>
      <c r="C110" s="418">
        <v>1</v>
      </c>
    </row>
    <row r="111" spans="1:3" ht="19.5" customHeight="1">
      <c r="A111" s="2" t="s">
        <v>650</v>
      </c>
      <c r="C111" s="418">
        <v>1</v>
      </c>
    </row>
    <row r="112" spans="1:3" ht="19.5" customHeight="1">
      <c r="A112" s="2" t="s">
        <v>651</v>
      </c>
      <c r="C112" s="418">
        <v>6</v>
      </c>
    </row>
    <row r="113" spans="1:3" ht="19.5" customHeight="1">
      <c r="A113" s="2" t="s">
        <v>652</v>
      </c>
      <c r="C113" s="418">
        <v>6</v>
      </c>
    </row>
    <row r="114" spans="1:3" ht="19.5" customHeight="1">
      <c r="A114" s="2" t="s">
        <v>653</v>
      </c>
      <c r="C114" s="418">
        <v>6</v>
      </c>
    </row>
    <row r="115" spans="1:3" ht="19.5" customHeight="1">
      <c r="A115" s="2" t="s">
        <v>654</v>
      </c>
      <c r="C115" s="418">
        <v>2</v>
      </c>
    </row>
    <row r="116" spans="1:3" ht="19.5" customHeight="1">
      <c r="A116" s="2" t="s">
        <v>655</v>
      </c>
      <c r="C116" s="418">
        <v>3</v>
      </c>
    </row>
    <row r="117" spans="1:3" ht="19.5" customHeight="1">
      <c r="A117" s="2" t="s">
        <v>656</v>
      </c>
      <c r="C117" s="418">
        <v>1</v>
      </c>
    </row>
    <row r="118" spans="1:3" ht="19.5" customHeight="1">
      <c r="A118" s="2" t="s">
        <v>657</v>
      </c>
      <c r="C118" s="418">
        <v>1</v>
      </c>
    </row>
    <row r="119" spans="1:3" ht="19.5" customHeight="1">
      <c r="A119" s="2" t="s">
        <v>658</v>
      </c>
      <c r="C119" s="418">
        <v>5</v>
      </c>
    </row>
    <row r="120" spans="1:3" ht="19.5" customHeight="1">
      <c r="A120" s="2" t="s">
        <v>659</v>
      </c>
      <c r="C120" s="418">
        <v>1</v>
      </c>
    </row>
    <row r="121" spans="1:3" ht="19.5" customHeight="1">
      <c r="A121" s="2" t="s">
        <v>660</v>
      </c>
      <c r="C121" s="418">
        <v>1</v>
      </c>
    </row>
    <row r="122" spans="1:3" ht="19.5" customHeight="1">
      <c r="A122" s="2" t="s">
        <v>661</v>
      </c>
      <c r="C122" s="418">
        <v>9</v>
      </c>
    </row>
    <row r="123" spans="1:3" ht="19.5" customHeight="1">
      <c r="A123" s="2" t="s">
        <v>662</v>
      </c>
      <c r="C123" s="418">
        <v>4</v>
      </c>
    </row>
    <row r="124" spans="1:3" ht="19.5" customHeight="1">
      <c r="A124" s="2" t="s">
        <v>663</v>
      </c>
      <c r="C124" s="418">
        <v>1</v>
      </c>
    </row>
    <row r="125" spans="1:3" ht="19.5" customHeight="1">
      <c r="A125" s="2" t="s">
        <v>664</v>
      </c>
      <c r="C125" s="418">
        <v>1</v>
      </c>
    </row>
    <row r="126" spans="1:3" ht="19.5" customHeight="1">
      <c r="A126" s="2" t="s">
        <v>665</v>
      </c>
      <c r="C126" s="418">
        <v>1</v>
      </c>
    </row>
    <row r="127" spans="1:3" ht="19.5" customHeight="1">
      <c r="A127" s="2" t="s">
        <v>560</v>
      </c>
      <c r="C127" s="418">
        <v>5</v>
      </c>
    </row>
    <row r="128" spans="1:3" ht="19.5" customHeight="1">
      <c r="A128" s="2" t="s">
        <v>666</v>
      </c>
      <c r="C128" s="418">
        <v>1</v>
      </c>
    </row>
    <row r="129" spans="1:3" ht="19.5" customHeight="1">
      <c r="A129" s="2" t="s">
        <v>667</v>
      </c>
      <c r="C129" s="418">
        <v>5</v>
      </c>
    </row>
    <row r="130" spans="1:3" ht="19.5" customHeight="1">
      <c r="A130" s="2" t="s">
        <v>668</v>
      </c>
      <c r="C130" s="418">
        <v>1</v>
      </c>
    </row>
    <row r="131" spans="1:3" ht="19.5" customHeight="1">
      <c r="A131" s="2" t="s">
        <v>669</v>
      </c>
      <c r="C131" s="418">
        <v>1</v>
      </c>
    </row>
    <row r="132" spans="1:3" ht="19.5" customHeight="1">
      <c r="A132" s="2" t="s">
        <v>670</v>
      </c>
      <c r="C132" s="418">
        <v>1</v>
      </c>
    </row>
    <row r="133" spans="1:3" ht="19.5" customHeight="1">
      <c r="A133" s="2" t="s">
        <v>671</v>
      </c>
      <c r="C133" s="418">
        <v>1</v>
      </c>
    </row>
    <row r="134" spans="1:3" ht="19.5" customHeight="1">
      <c r="A134" s="2" t="s">
        <v>672</v>
      </c>
      <c r="C134" s="418">
        <v>1</v>
      </c>
    </row>
    <row r="135" spans="1:3" ht="19.5" customHeight="1">
      <c r="A135" s="2" t="s">
        <v>673</v>
      </c>
      <c r="C135" s="418">
        <v>5</v>
      </c>
    </row>
    <row r="136" spans="1:3" ht="19.5" customHeight="1">
      <c r="A136" s="2" t="s">
        <v>674</v>
      </c>
      <c r="C136" s="418">
        <v>1</v>
      </c>
    </row>
    <row r="137" spans="1:3" ht="19.5" customHeight="1">
      <c r="A137" s="2" t="s">
        <v>675</v>
      </c>
      <c r="C137" s="418">
        <v>1</v>
      </c>
    </row>
    <row r="138" spans="1:3" ht="19.5" customHeight="1">
      <c r="A138" s="2" t="s">
        <v>676</v>
      </c>
      <c r="C138" s="418">
        <v>1</v>
      </c>
    </row>
    <row r="139" spans="1:3" ht="19.5" customHeight="1">
      <c r="A139" s="2" t="s">
        <v>677</v>
      </c>
      <c r="C139" s="418">
        <v>1</v>
      </c>
    </row>
    <row r="140" spans="1:3" ht="19.5" customHeight="1">
      <c r="A140" s="2" t="s">
        <v>678</v>
      </c>
      <c r="C140" s="418">
        <v>1</v>
      </c>
    </row>
    <row r="141" spans="1:3" ht="19.5" customHeight="1">
      <c r="A141" s="2" t="s">
        <v>679</v>
      </c>
      <c r="C141" s="418">
        <v>2</v>
      </c>
    </row>
    <row r="142" spans="1:3" ht="19.5" customHeight="1">
      <c r="A142" s="2" t="s">
        <v>680</v>
      </c>
      <c r="C142" s="418">
        <v>2</v>
      </c>
    </row>
    <row r="143" spans="1:3" ht="19.5" customHeight="1">
      <c r="A143" s="2" t="s">
        <v>681</v>
      </c>
      <c r="C143" s="418">
        <v>2</v>
      </c>
    </row>
    <row r="144" spans="1:3" ht="19.5" customHeight="1">
      <c r="A144" s="2" t="s">
        <v>682</v>
      </c>
      <c r="C144" s="418">
        <v>1</v>
      </c>
    </row>
    <row r="145" spans="1:3" ht="19.5" customHeight="1">
      <c r="A145" s="2" t="s">
        <v>683</v>
      </c>
      <c r="C145" s="418">
        <v>2</v>
      </c>
    </row>
    <row r="146" spans="1:3" ht="19.5" customHeight="1">
      <c r="A146" s="2" t="s">
        <v>684</v>
      </c>
      <c r="C146" s="418">
        <v>1</v>
      </c>
    </row>
    <row r="147" spans="1:3" ht="19.5" customHeight="1">
      <c r="A147" s="2" t="s">
        <v>685</v>
      </c>
      <c r="C147" s="418">
        <v>3</v>
      </c>
    </row>
    <row r="148" spans="1:3" ht="19.5" customHeight="1">
      <c r="A148" s="2" t="s">
        <v>686</v>
      </c>
      <c r="C148" s="418">
        <v>2</v>
      </c>
    </row>
    <row r="149" spans="1:3" ht="19.5" customHeight="1">
      <c r="A149" s="2" t="s">
        <v>687</v>
      </c>
      <c r="C149" s="418">
        <v>29</v>
      </c>
    </row>
    <row r="150" spans="1:3" ht="19.5" customHeight="1">
      <c r="A150" s="2" t="s">
        <v>688</v>
      </c>
      <c r="C150" s="418">
        <v>4</v>
      </c>
    </row>
    <row r="151" spans="1:3" ht="19.5" customHeight="1">
      <c r="A151" s="2" t="s">
        <v>689</v>
      </c>
      <c r="C151" s="418">
        <v>7</v>
      </c>
    </row>
    <row r="152" spans="1:3" ht="19.5" customHeight="1">
      <c r="A152" s="2" t="s">
        <v>690</v>
      </c>
      <c r="C152" s="418">
        <v>2</v>
      </c>
    </row>
    <row r="153" spans="1:3" ht="19.5" customHeight="1">
      <c r="A153" s="2" t="s">
        <v>691</v>
      </c>
      <c r="C153" s="418">
        <v>4</v>
      </c>
    </row>
    <row r="154" spans="1:3" ht="19.5" customHeight="1">
      <c r="A154" s="2" t="s">
        <v>692</v>
      </c>
      <c r="C154" s="418">
        <v>12</v>
      </c>
    </row>
    <row r="155" spans="1:3" ht="19.5" customHeight="1">
      <c r="A155" s="2" t="s">
        <v>693</v>
      </c>
      <c r="C155" s="418">
        <v>1</v>
      </c>
    </row>
    <row r="156" spans="1:3" ht="19.5" customHeight="1">
      <c r="A156" s="2" t="s">
        <v>563</v>
      </c>
      <c r="C156" s="418">
        <v>1</v>
      </c>
    </row>
    <row r="157" spans="1:3" ht="19.5" customHeight="1">
      <c r="A157" s="2" t="s">
        <v>694</v>
      </c>
      <c r="C157" s="418">
        <v>2</v>
      </c>
    </row>
    <row r="158" spans="1:3" ht="19.5" customHeight="1" thickBot="1">
      <c r="A158" s="511" t="s">
        <v>173</v>
      </c>
      <c r="B158" s="512"/>
      <c r="C158" s="259">
        <f>SUM(C31:C157)</f>
        <v>466</v>
      </c>
    </row>
    <row r="159" spans="1:3" ht="19.5" customHeight="1" thickBot="1">
      <c r="C159" s="246"/>
    </row>
    <row r="160" spans="1:3" ht="19.5" customHeight="1" thickBot="1">
      <c r="A160" s="508" t="s">
        <v>174</v>
      </c>
      <c r="B160" s="509"/>
      <c r="C160" s="510"/>
    </row>
    <row r="161" spans="1:3" ht="19.5" customHeight="1" thickBot="1">
      <c r="A161" s="268" t="s">
        <v>171</v>
      </c>
      <c r="B161" s="269" t="s">
        <v>172</v>
      </c>
      <c r="C161" s="270" t="s">
        <v>41</v>
      </c>
    </row>
    <row r="162" spans="1:3" ht="19.5" customHeight="1">
      <c r="A162" s="415" t="s">
        <v>695</v>
      </c>
      <c r="B162" s="416"/>
      <c r="C162" s="417">
        <v>1</v>
      </c>
    </row>
    <row r="163" spans="1:3" ht="19.5" customHeight="1">
      <c r="A163" s="2" t="s">
        <v>696</v>
      </c>
      <c r="C163" s="418">
        <v>1</v>
      </c>
    </row>
    <row r="164" spans="1:3" ht="19.5" customHeight="1">
      <c r="A164" s="2" t="s">
        <v>697</v>
      </c>
      <c r="C164" s="418">
        <v>1</v>
      </c>
    </row>
    <row r="165" spans="1:3" ht="19.5" customHeight="1">
      <c r="A165" s="2" t="s">
        <v>698</v>
      </c>
      <c r="C165" s="418">
        <v>1</v>
      </c>
    </row>
    <row r="166" spans="1:3" ht="19.5" customHeight="1">
      <c r="A166" s="2" t="s">
        <v>699</v>
      </c>
      <c r="C166" s="418">
        <v>8</v>
      </c>
    </row>
    <row r="167" spans="1:3" ht="19.5" customHeight="1">
      <c r="A167" s="2" t="s">
        <v>700</v>
      </c>
      <c r="C167" s="418">
        <v>1</v>
      </c>
    </row>
    <row r="168" spans="1:3" ht="19.5" customHeight="1">
      <c r="A168" s="2" t="s">
        <v>695</v>
      </c>
      <c r="C168" s="418">
        <v>1</v>
      </c>
    </row>
    <row r="169" spans="1:3" ht="19.5" customHeight="1">
      <c r="A169" s="2" t="s">
        <v>701</v>
      </c>
      <c r="C169" s="418">
        <v>1</v>
      </c>
    </row>
    <row r="170" spans="1:3" ht="19.5" customHeight="1">
      <c r="A170" s="2" t="s">
        <v>702</v>
      </c>
      <c r="C170" s="418">
        <v>2</v>
      </c>
    </row>
    <row r="171" spans="1:3" ht="19.5" customHeight="1">
      <c r="A171" s="2" t="s">
        <v>703</v>
      </c>
      <c r="C171" s="418">
        <v>2</v>
      </c>
    </row>
    <row r="172" spans="1:3" ht="19.5" customHeight="1">
      <c r="A172" s="2" t="s">
        <v>704</v>
      </c>
      <c r="C172" s="418">
        <v>1</v>
      </c>
    </row>
    <row r="173" spans="1:3" ht="19.5" customHeight="1">
      <c r="A173" s="2" t="s">
        <v>705</v>
      </c>
      <c r="C173" s="418">
        <v>2</v>
      </c>
    </row>
    <row r="174" spans="1:3" ht="19.5" customHeight="1">
      <c r="A174" s="2" t="s">
        <v>706</v>
      </c>
      <c r="C174" s="418">
        <v>1</v>
      </c>
    </row>
    <row r="175" spans="1:3" ht="19.5" customHeight="1">
      <c r="A175" s="2" t="s">
        <v>707</v>
      </c>
      <c r="C175" s="418">
        <v>1</v>
      </c>
    </row>
    <row r="176" spans="1:3" ht="19.5" customHeight="1">
      <c r="A176" s="2" t="s">
        <v>708</v>
      </c>
      <c r="C176" s="418">
        <v>1</v>
      </c>
    </row>
    <row r="177" spans="1:3" ht="19.5" customHeight="1">
      <c r="A177" s="2" t="s">
        <v>709</v>
      </c>
      <c r="C177" s="418">
        <v>1</v>
      </c>
    </row>
    <row r="178" spans="1:3" ht="19.5" customHeight="1">
      <c r="A178" s="2" t="s">
        <v>710</v>
      </c>
      <c r="C178" s="418">
        <v>1</v>
      </c>
    </row>
    <row r="179" spans="1:3" ht="19.5" customHeight="1">
      <c r="A179" s="2" t="s">
        <v>711</v>
      </c>
      <c r="C179" s="418">
        <v>1</v>
      </c>
    </row>
    <row r="180" spans="1:3" ht="19.5" customHeight="1">
      <c r="A180" s="2" t="s">
        <v>699</v>
      </c>
      <c r="C180" s="418">
        <v>3</v>
      </c>
    </row>
    <row r="181" spans="1:3" ht="19.5" customHeight="1">
      <c r="A181" s="2" t="s">
        <v>707</v>
      </c>
      <c r="C181" s="418">
        <v>3</v>
      </c>
    </row>
    <row r="182" spans="1:3" ht="19.5" customHeight="1">
      <c r="A182" s="2" t="s">
        <v>700</v>
      </c>
      <c r="C182" s="418">
        <v>1</v>
      </c>
    </row>
    <row r="183" spans="1:3" ht="19.5" customHeight="1">
      <c r="A183" s="2" t="s">
        <v>705</v>
      </c>
      <c r="C183" s="418">
        <v>2</v>
      </c>
    </row>
    <row r="184" spans="1:3" ht="19.5" customHeight="1">
      <c r="A184" s="2" t="s">
        <v>699</v>
      </c>
      <c r="C184" s="418">
        <v>8</v>
      </c>
    </row>
    <row r="185" spans="1:3" ht="19.5" customHeight="1">
      <c r="A185" s="2" t="s">
        <v>707</v>
      </c>
      <c r="C185" s="418">
        <v>1</v>
      </c>
    </row>
    <row r="186" spans="1:3" ht="19.5" customHeight="1">
      <c r="A186" s="2" t="s">
        <v>701</v>
      </c>
      <c r="C186" s="418">
        <v>1</v>
      </c>
    </row>
    <row r="187" spans="1:3" ht="19.5" customHeight="1">
      <c r="A187" s="2" t="s">
        <v>712</v>
      </c>
      <c r="C187" s="418">
        <v>1</v>
      </c>
    </row>
    <row r="188" spans="1:3" ht="19.5" customHeight="1">
      <c r="A188" s="2" t="s">
        <v>713</v>
      </c>
      <c r="C188" s="418">
        <v>1</v>
      </c>
    </row>
    <row r="189" spans="1:3" ht="19.5" customHeight="1">
      <c r="A189" s="2" t="s">
        <v>714</v>
      </c>
      <c r="C189" s="418">
        <v>1</v>
      </c>
    </row>
    <row r="190" spans="1:3" ht="19.5" customHeight="1">
      <c r="A190" s="2" t="s">
        <v>702</v>
      </c>
      <c r="C190" s="418">
        <v>1</v>
      </c>
    </row>
    <row r="191" spans="1:3" ht="19.5" customHeight="1">
      <c r="A191" s="2" t="s">
        <v>703</v>
      </c>
      <c r="C191" s="418">
        <v>1</v>
      </c>
    </row>
    <row r="192" spans="1:3" ht="19.5" customHeight="1">
      <c r="A192" s="2" t="s">
        <v>704</v>
      </c>
      <c r="C192" s="418">
        <v>1</v>
      </c>
    </row>
    <row r="193" spans="1:3" ht="19.5" customHeight="1">
      <c r="A193" s="2" t="s">
        <v>707</v>
      </c>
      <c r="C193" s="418">
        <v>1</v>
      </c>
    </row>
    <row r="194" spans="1:3" ht="19.5" customHeight="1">
      <c r="A194" s="2" t="s">
        <v>715</v>
      </c>
      <c r="C194" s="418">
        <v>1</v>
      </c>
    </row>
    <row r="195" spans="1:3" ht="19.5" customHeight="1">
      <c r="A195" s="2" t="s">
        <v>705</v>
      </c>
      <c r="C195" s="418">
        <v>1</v>
      </c>
    </row>
    <row r="196" spans="1:3" ht="19.5" customHeight="1">
      <c r="A196" s="2" t="s">
        <v>699</v>
      </c>
      <c r="C196" s="418">
        <v>3</v>
      </c>
    </row>
    <row r="197" spans="1:3" ht="19.5" customHeight="1">
      <c r="A197" s="2" t="s">
        <v>716</v>
      </c>
      <c r="C197" s="418">
        <v>2</v>
      </c>
    </row>
    <row r="198" spans="1:3" ht="19.5" customHeight="1">
      <c r="A198" s="2" t="s">
        <v>715</v>
      </c>
      <c r="C198" s="418">
        <v>4</v>
      </c>
    </row>
    <row r="199" spans="1:3" ht="19.5" customHeight="1">
      <c r="A199" s="2" t="s">
        <v>717</v>
      </c>
      <c r="C199" s="418">
        <v>1</v>
      </c>
    </row>
    <row r="200" spans="1:3" ht="19.5" customHeight="1" thickBot="1">
      <c r="A200" s="419" t="s">
        <v>716</v>
      </c>
      <c r="B200" s="361"/>
      <c r="C200" s="420">
        <v>1</v>
      </c>
    </row>
    <row r="201" spans="1:3" ht="19.5" customHeight="1" thickBot="1">
      <c r="A201" s="511" t="s">
        <v>175</v>
      </c>
      <c r="B201" s="512"/>
      <c r="C201" s="259">
        <f>SUM(C162:C200)</f>
        <v>67</v>
      </c>
    </row>
    <row r="202" spans="1:3" ht="19.5" customHeight="1" thickBot="1">
      <c r="C202" s="246"/>
    </row>
    <row r="203" spans="1:3" ht="19.5" customHeight="1" thickBot="1">
      <c r="B203" s="513" t="s">
        <v>176</v>
      </c>
      <c r="C203" s="514"/>
    </row>
    <row r="204" spans="1:3" ht="19.5" customHeight="1" thickBot="1">
      <c r="B204" s="274"/>
      <c r="C204" s="275" t="s">
        <v>41</v>
      </c>
    </row>
    <row r="205" spans="1:3" ht="19.5" customHeight="1">
      <c r="B205" s="274" t="s">
        <v>177</v>
      </c>
      <c r="C205" s="276">
        <v>33</v>
      </c>
    </row>
    <row r="206" spans="1:3" ht="19.5" customHeight="1">
      <c r="B206" s="274" t="s">
        <v>178</v>
      </c>
      <c r="C206" s="276">
        <v>38</v>
      </c>
    </row>
    <row r="207" spans="1:3" ht="19.5" customHeight="1" thickBot="1">
      <c r="B207" s="277" t="s">
        <v>179</v>
      </c>
      <c r="C207" s="278">
        <f>C205+C206</f>
        <v>71</v>
      </c>
    </row>
  </sheetData>
  <mergeCells count="28">
    <mergeCell ref="A1:C1"/>
    <mergeCell ref="B3:C3"/>
    <mergeCell ref="B4:C4"/>
    <mergeCell ref="A6:C6"/>
    <mergeCell ref="A7:B7"/>
    <mergeCell ref="A8:B8"/>
    <mergeCell ref="A9:B9"/>
    <mergeCell ref="A10:B10"/>
    <mergeCell ref="A12:C12"/>
    <mergeCell ref="A13:B13"/>
    <mergeCell ref="A14:B14"/>
    <mergeCell ref="A15:B15"/>
    <mergeCell ref="A16:B16"/>
    <mergeCell ref="A17:C17"/>
    <mergeCell ref="A18:B18"/>
    <mergeCell ref="A19:C19"/>
    <mergeCell ref="A20:B20"/>
    <mergeCell ref="A21:B21"/>
    <mergeCell ref="A22:B22"/>
    <mergeCell ref="A23:B23"/>
    <mergeCell ref="A160:C160"/>
    <mergeCell ref="A201:B201"/>
    <mergeCell ref="B203:C203"/>
    <mergeCell ref="A24:C24"/>
    <mergeCell ref="A25:B25"/>
    <mergeCell ref="A26:B26"/>
    <mergeCell ref="A29:C29"/>
    <mergeCell ref="A158:B158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view="pageBreakPreview" topLeftCell="A16" zoomScale="80" zoomScaleNormal="80" zoomScalePageLayoutView="80" workbookViewId="0">
      <selection activeCell="O28" sqref="O28"/>
    </sheetView>
  </sheetViews>
  <sheetFormatPr defaultColWidth="9" defaultRowHeight="19.5" customHeight="1"/>
  <cols>
    <col min="1" max="1" width="46.140625" style="158" customWidth="1"/>
    <col min="2" max="2" width="18.5703125" style="159" customWidth="1"/>
    <col min="3" max="3" width="22.7109375" style="159" customWidth="1"/>
    <col min="4" max="4" width="29.140625" style="159" customWidth="1"/>
    <col min="5" max="5" width="19" style="159" customWidth="1"/>
    <col min="6" max="6" width="18.42578125" style="159" customWidth="1"/>
    <col min="7" max="7" width="21.42578125" style="159" customWidth="1"/>
    <col min="8" max="8" width="18.140625" style="159" customWidth="1"/>
    <col min="9" max="9" width="21.42578125" style="158" customWidth="1"/>
    <col min="10" max="16383" width="9.140625" style="158"/>
    <col min="16384" max="16384" width="9" style="158"/>
  </cols>
  <sheetData>
    <row r="1" spans="1:9" ht="32.1" customHeight="1">
      <c r="A1" s="579" t="s">
        <v>180</v>
      </c>
      <c r="B1" s="580"/>
      <c r="C1" s="580"/>
      <c r="D1" s="580"/>
      <c r="E1" s="580"/>
      <c r="F1" s="580"/>
      <c r="G1" s="580"/>
      <c r="H1" s="580"/>
      <c r="I1" s="580"/>
    </row>
    <row r="2" spans="1:9" ht="19.5" customHeight="1">
      <c r="A2" s="180"/>
      <c r="B2" s="181"/>
      <c r="C2" s="181"/>
      <c r="D2" s="181"/>
      <c r="E2" s="182"/>
      <c r="F2" s="182"/>
      <c r="G2" s="182"/>
      <c r="H2" s="182"/>
      <c r="I2" s="238"/>
    </row>
    <row r="3" spans="1:9" ht="19.5" customHeight="1">
      <c r="A3" s="183" t="s">
        <v>6</v>
      </c>
      <c r="B3" s="581" t="str">
        <f>Capa!D5</f>
        <v>HOSPITAL REGIONAL TEREZINHA GAIO BASSO</v>
      </c>
      <c r="C3" s="582"/>
      <c r="D3" s="582"/>
      <c r="E3" s="582"/>
      <c r="F3" s="182"/>
      <c r="G3" s="182"/>
      <c r="H3" s="182"/>
      <c r="I3" s="239"/>
    </row>
    <row r="4" spans="1:9" ht="19.5" customHeight="1">
      <c r="A4" s="183" t="s">
        <v>7</v>
      </c>
      <c r="B4" s="583">
        <f>Leitos!B4</f>
        <v>45870</v>
      </c>
      <c r="C4" s="583"/>
      <c r="D4" s="182"/>
      <c r="E4" s="182"/>
      <c r="F4" s="182"/>
      <c r="G4" s="182"/>
      <c r="H4" s="182"/>
      <c r="I4" s="238"/>
    </row>
    <row r="5" spans="1:9" ht="23.1" customHeight="1">
      <c r="A5" s="184"/>
    </row>
    <row r="6" spans="1:9" ht="19.5" customHeight="1">
      <c r="A6" s="584" t="s">
        <v>181</v>
      </c>
      <c r="B6" s="585"/>
      <c r="C6" s="185" t="s">
        <v>41</v>
      </c>
    </row>
    <row r="7" spans="1:9" ht="19.5" customHeight="1">
      <c r="A7" s="586" t="s">
        <v>182</v>
      </c>
      <c r="B7" s="587"/>
      <c r="C7" s="186">
        <v>704</v>
      </c>
    </row>
    <row r="8" spans="1:9" ht="19.5" customHeight="1">
      <c r="A8" s="569" t="s">
        <v>183</v>
      </c>
      <c r="B8" s="570"/>
      <c r="C8" s="187">
        <f>B29</f>
        <v>709</v>
      </c>
    </row>
    <row r="9" spans="1:9" ht="19.5" customHeight="1">
      <c r="A9" s="184"/>
    </row>
    <row r="10" spans="1:9" ht="19.5" customHeight="1">
      <c r="A10" s="549" t="s">
        <v>184</v>
      </c>
      <c r="B10" s="554"/>
      <c r="C10" s="554"/>
      <c r="D10" s="554"/>
      <c r="E10" s="554"/>
      <c r="F10" s="550"/>
    </row>
    <row r="11" spans="1:9" ht="38.1" customHeight="1">
      <c r="A11" s="188"/>
      <c r="B11" s="571" t="s">
        <v>185</v>
      </c>
      <c r="C11" s="572"/>
      <c r="D11" s="573" t="s">
        <v>186</v>
      </c>
      <c r="E11" s="574"/>
      <c r="F11" s="190"/>
    </row>
    <row r="12" spans="1:9" ht="19.5" customHeight="1">
      <c r="A12" s="188"/>
      <c r="B12" s="575">
        <v>13</v>
      </c>
      <c r="C12" s="576"/>
      <c r="D12" s="577">
        <f>B12/B29</f>
        <v>1.8335684062059238E-2</v>
      </c>
      <c r="E12" s="578"/>
      <c r="F12" s="190"/>
    </row>
    <row r="13" spans="1:9" ht="19.5" customHeight="1">
      <c r="A13" s="191"/>
      <c r="F13" s="192"/>
    </row>
    <row r="14" spans="1:9" ht="19.5" customHeight="1">
      <c r="A14" s="193"/>
      <c r="B14" s="558" t="s">
        <v>187</v>
      </c>
      <c r="C14" s="559"/>
      <c r="D14" s="559"/>
      <c r="E14" s="559"/>
      <c r="F14" s="560"/>
    </row>
    <row r="15" spans="1:9" ht="57.95" customHeight="1">
      <c r="A15" s="194"/>
      <c r="B15" s="195" t="s">
        <v>188</v>
      </c>
      <c r="C15" s="196" t="s">
        <v>189</v>
      </c>
      <c r="D15" s="196" t="s">
        <v>190</v>
      </c>
      <c r="E15" s="196" t="s">
        <v>191</v>
      </c>
      <c r="F15" s="123" t="s">
        <v>192</v>
      </c>
    </row>
    <row r="16" spans="1:9" ht="19.5" customHeight="1">
      <c r="A16" s="163"/>
      <c r="B16" s="197">
        <v>8</v>
      </c>
      <c r="C16" s="198">
        <v>1</v>
      </c>
      <c r="D16" s="198">
        <v>219</v>
      </c>
      <c r="E16" s="198">
        <v>5</v>
      </c>
      <c r="F16" s="199">
        <v>124</v>
      </c>
    </row>
    <row r="17" spans="1:9" ht="19.5" customHeight="1">
      <c r="A17" s="193"/>
      <c r="B17" s="200"/>
      <c r="C17" s="200"/>
      <c r="D17" s="200"/>
      <c r="E17" s="200"/>
      <c r="F17" s="201"/>
    </row>
    <row r="18" spans="1:9" ht="19.5" customHeight="1">
      <c r="A18" s="193"/>
      <c r="B18" s="561" t="s">
        <v>193</v>
      </c>
      <c r="C18" s="562"/>
      <c r="D18" s="563"/>
      <c r="E18" s="200"/>
      <c r="F18" s="201"/>
    </row>
    <row r="19" spans="1:9" ht="19.5" customHeight="1">
      <c r="A19" s="191"/>
      <c r="B19" s="202" t="s">
        <v>194</v>
      </c>
      <c r="C19" s="203" t="s">
        <v>195</v>
      </c>
      <c r="D19" s="204" t="s">
        <v>196</v>
      </c>
      <c r="F19" s="205"/>
    </row>
    <row r="20" spans="1:9" ht="19.5" customHeight="1">
      <c r="A20" s="191"/>
      <c r="B20" s="206">
        <f>B16/Assistencial!I14*1000</f>
        <v>27.972027972027973</v>
      </c>
      <c r="C20" s="207">
        <f>C16/D16*1000</f>
        <v>4.5662100456620998</v>
      </c>
      <c r="D20" s="208">
        <f>F16/Assistencial!I14</f>
        <v>0.43356643356643354</v>
      </c>
      <c r="F20" s="205"/>
    </row>
    <row r="21" spans="1:9" ht="68.099999999999994" customHeight="1">
      <c r="A21" s="564" t="s">
        <v>197</v>
      </c>
      <c r="B21" s="565"/>
      <c r="C21" s="565"/>
      <c r="D21" s="565"/>
      <c r="E21" s="565"/>
      <c r="F21" s="566"/>
    </row>
    <row r="22" spans="1:9" ht="19.5" customHeight="1">
      <c r="A22" s="184"/>
    </row>
    <row r="23" spans="1:9" ht="19.5" customHeight="1">
      <c r="A23" s="184"/>
    </row>
    <row r="24" spans="1:9" ht="19.5" customHeight="1">
      <c r="A24" s="567" t="s">
        <v>198</v>
      </c>
      <c r="B24" s="568"/>
      <c r="C24" s="209"/>
      <c r="D24" s="549" t="s">
        <v>199</v>
      </c>
      <c r="E24" s="554"/>
      <c r="F24" s="554"/>
      <c r="G24" s="554"/>
      <c r="H24" s="554"/>
      <c r="I24" s="550"/>
    </row>
    <row r="25" spans="1:9" ht="51" customHeight="1">
      <c r="A25" s="210"/>
      <c r="B25" s="211" t="s">
        <v>41</v>
      </c>
      <c r="D25" s="212"/>
      <c r="E25" s="189" t="s">
        <v>200</v>
      </c>
      <c r="F25" s="189" t="s">
        <v>201</v>
      </c>
      <c r="G25" s="189" t="s">
        <v>202</v>
      </c>
      <c r="H25" s="189" t="s">
        <v>494</v>
      </c>
      <c r="I25" s="240" t="s">
        <v>495</v>
      </c>
    </row>
    <row r="26" spans="1:9" ht="39" customHeight="1">
      <c r="A26" s="213" t="s">
        <v>203</v>
      </c>
      <c r="B26" s="60">
        <v>27</v>
      </c>
      <c r="D26" s="210" t="s">
        <v>204</v>
      </c>
      <c r="E26" s="214">
        <v>75</v>
      </c>
      <c r="F26" s="214">
        <v>0</v>
      </c>
      <c r="G26" s="215">
        <f>F26/E26</f>
        <v>0</v>
      </c>
      <c r="H26" s="216">
        <v>0</v>
      </c>
      <c r="I26" s="241" t="e">
        <f>H26/H32</f>
        <v>#DIV/0!</v>
      </c>
    </row>
    <row r="27" spans="1:9" ht="19.5" customHeight="1">
      <c r="A27" s="213" t="s">
        <v>205</v>
      </c>
      <c r="B27" s="60">
        <v>3</v>
      </c>
      <c r="D27" s="212" t="s">
        <v>206</v>
      </c>
      <c r="E27" s="62">
        <v>265</v>
      </c>
      <c r="F27" s="62">
        <v>0</v>
      </c>
      <c r="G27" s="217">
        <f>F27/E27</f>
        <v>0</v>
      </c>
      <c r="H27" s="167">
        <v>0</v>
      </c>
      <c r="I27" s="242" t="e">
        <f>H27/H32</f>
        <v>#DIV/0!</v>
      </c>
    </row>
    <row r="28" spans="1:9" ht="30" customHeight="1">
      <c r="A28" s="212" t="s">
        <v>207</v>
      </c>
      <c r="B28" s="218">
        <f>E32</f>
        <v>407</v>
      </c>
      <c r="C28" s="158"/>
      <c r="D28" s="212" t="s">
        <v>208</v>
      </c>
      <c r="E28" s="62">
        <v>63</v>
      </c>
      <c r="F28" s="62">
        <v>2</v>
      </c>
      <c r="G28" s="217">
        <f>F28/E28</f>
        <v>3.1746031746031744E-2</v>
      </c>
      <c r="H28" s="167">
        <v>0</v>
      </c>
      <c r="I28" s="242" t="e">
        <f>H28/H32</f>
        <v>#DIV/0!</v>
      </c>
    </row>
    <row r="29" spans="1:9" ht="24" customHeight="1">
      <c r="A29" s="219" t="s">
        <v>209</v>
      </c>
      <c r="B29" s="220">
        <f>Assistencial!F15</f>
        <v>709</v>
      </c>
      <c r="D29" s="212" t="s">
        <v>210</v>
      </c>
      <c r="E29" s="62">
        <v>3</v>
      </c>
      <c r="F29" s="62">
        <v>0</v>
      </c>
      <c r="G29" s="217">
        <f>F29/E29</f>
        <v>0</v>
      </c>
      <c r="H29" s="167">
        <v>0</v>
      </c>
      <c r="I29" s="242" t="e">
        <f>H29/H32</f>
        <v>#DIV/0!</v>
      </c>
    </row>
    <row r="30" spans="1:9" ht="18.95" customHeight="1">
      <c r="A30" s="193"/>
      <c r="B30" s="158"/>
      <c r="D30" s="212" t="s">
        <v>211</v>
      </c>
      <c r="E30" s="62">
        <v>0</v>
      </c>
      <c r="F30" s="62">
        <v>0</v>
      </c>
      <c r="G30" s="217" t="e">
        <f>F30/E30</f>
        <v>#DIV/0!</v>
      </c>
      <c r="H30" s="167">
        <v>0</v>
      </c>
      <c r="I30" s="242" t="e">
        <f>H30/H32</f>
        <v>#DIV/0!</v>
      </c>
    </row>
    <row r="31" spans="1:9" ht="33" customHeight="1">
      <c r="A31" s="549" t="s">
        <v>212</v>
      </c>
      <c r="B31" s="550"/>
      <c r="C31" s="221"/>
      <c r="D31" s="219" t="s">
        <v>213</v>
      </c>
      <c r="E31" s="222">
        <v>1</v>
      </c>
      <c r="F31" s="223">
        <v>1</v>
      </c>
      <c r="G31" s="223" t="s">
        <v>56</v>
      </c>
      <c r="H31" s="223" t="s">
        <v>56</v>
      </c>
      <c r="I31" s="243" t="s">
        <v>56</v>
      </c>
    </row>
    <row r="32" spans="1:9" ht="18.95" customHeight="1">
      <c r="A32" s="212"/>
      <c r="B32" s="224" t="s">
        <v>214</v>
      </c>
      <c r="C32" s="221"/>
      <c r="D32" s="225" t="s">
        <v>14</v>
      </c>
      <c r="E32" s="226">
        <f>SUM(E26:E31)</f>
        <v>407</v>
      </c>
      <c r="F32" s="226">
        <f>SUM(F26:F31)</f>
        <v>3</v>
      </c>
      <c r="G32" s="227" t="e">
        <f>SUM(G26:G30)</f>
        <v>#DIV/0!</v>
      </c>
      <c r="H32" s="226">
        <f>SUM(H26:H30)</f>
        <v>0</v>
      </c>
      <c r="I32" s="244" t="e">
        <f>SUM(I26:I30)</f>
        <v>#DIV/0!</v>
      </c>
    </row>
    <row r="33" spans="1:9" ht="45" customHeight="1">
      <c r="A33" s="228" t="s">
        <v>202</v>
      </c>
      <c r="B33" s="229">
        <f>B27/B28</f>
        <v>7.3710073710073713E-3</v>
      </c>
      <c r="C33" s="221"/>
      <c r="D33" s="545" t="s">
        <v>215</v>
      </c>
      <c r="E33" s="545"/>
      <c r="F33" s="545"/>
      <c r="G33" s="545"/>
      <c r="H33" s="545"/>
      <c r="I33" s="551"/>
    </row>
    <row r="34" spans="1:9" ht="18" customHeight="1">
      <c r="A34" s="193"/>
      <c r="C34" s="221"/>
      <c r="I34" s="192"/>
    </row>
    <row r="35" spans="1:9" ht="33" customHeight="1">
      <c r="A35" s="552" t="s">
        <v>216</v>
      </c>
      <c r="B35" s="553"/>
      <c r="C35" s="221"/>
      <c r="I35" s="192"/>
    </row>
    <row r="36" spans="1:9" ht="18.95" customHeight="1">
      <c r="A36" s="193"/>
      <c r="B36" s="230" t="s">
        <v>214</v>
      </c>
      <c r="C36" s="221"/>
      <c r="I36" s="192"/>
    </row>
    <row r="37" spans="1:9" ht="24.95" customHeight="1">
      <c r="A37" s="228" t="s">
        <v>217</v>
      </c>
      <c r="B37" s="229">
        <f>(B26/B29)</f>
        <v>3.8081805359661498E-2</v>
      </c>
      <c r="C37" s="221"/>
      <c r="I37" s="192"/>
    </row>
    <row r="38" spans="1:9" ht="24.95" customHeight="1">
      <c r="A38" s="193"/>
      <c r="C38" s="221"/>
      <c r="I38" s="192"/>
    </row>
    <row r="39" spans="1:9" ht="19.5" customHeight="1">
      <c r="A39" s="549" t="s">
        <v>218</v>
      </c>
      <c r="B39" s="554"/>
      <c r="C39" s="554"/>
      <c r="D39" s="554"/>
      <c r="E39" s="554"/>
      <c r="F39" s="554"/>
      <c r="G39" s="554"/>
      <c r="H39" s="550"/>
      <c r="I39" s="192"/>
    </row>
    <row r="40" spans="1:9" ht="19.5" customHeight="1">
      <c r="A40" s="212"/>
      <c r="B40" s="231" t="s">
        <v>219</v>
      </c>
      <c r="C40" s="231" t="s">
        <v>220</v>
      </c>
      <c r="D40" s="231" t="s">
        <v>221</v>
      </c>
      <c r="E40" s="231" t="s">
        <v>222</v>
      </c>
      <c r="F40" s="231" t="s">
        <v>223</v>
      </c>
      <c r="G40" s="231" t="s">
        <v>224</v>
      </c>
      <c r="H40" s="232" t="s">
        <v>225</v>
      </c>
      <c r="I40" s="192"/>
    </row>
    <row r="41" spans="1:9" ht="19.5" customHeight="1">
      <c r="A41" s="212" t="s">
        <v>226</v>
      </c>
      <c r="B41" s="62">
        <v>1</v>
      </c>
      <c r="C41" s="62">
        <v>0</v>
      </c>
      <c r="D41" s="62">
        <v>1</v>
      </c>
      <c r="E41" s="62">
        <v>0</v>
      </c>
      <c r="F41" s="62">
        <v>0</v>
      </c>
      <c r="G41" s="62">
        <v>0</v>
      </c>
      <c r="H41" s="60">
        <v>0</v>
      </c>
      <c r="I41" s="192"/>
    </row>
    <row r="42" spans="1:9" ht="19.5" customHeight="1">
      <c r="A42" s="212" t="s">
        <v>227</v>
      </c>
      <c r="B42" s="62">
        <v>1</v>
      </c>
      <c r="C42" s="62">
        <v>0</v>
      </c>
      <c r="D42" s="62">
        <v>0</v>
      </c>
      <c r="E42" s="62">
        <v>0</v>
      </c>
      <c r="F42" s="62">
        <v>1</v>
      </c>
      <c r="G42" s="62">
        <v>0</v>
      </c>
      <c r="H42" s="60">
        <v>0</v>
      </c>
      <c r="I42" s="192"/>
    </row>
    <row r="43" spans="1:9" ht="19.5" customHeight="1">
      <c r="A43" s="212" t="s">
        <v>228</v>
      </c>
      <c r="B43" s="62">
        <v>0</v>
      </c>
      <c r="C43" s="62">
        <v>0</v>
      </c>
      <c r="D43" s="62">
        <v>0</v>
      </c>
      <c r="E43" s="62">
        <v>0</v>
      </c>
      <c r="F43" s="62">
        <v>0</v>
      </c>
      <c r="G43" s="62">
        <v>0</v>
      </c>
      <c r="H43" s="60">
        <v>0</v>
      </c>
      <c r="I43" s="192"/>
    </row>
    <row r="44" spans="1:9" ht="19.5" customHeight="1">
      <c r="A44" s="212" t="s">
        <v>229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0">
        <v>0</v>
      </c>
      <c r="I44" s="192"/>
    </row>
    <row r="45" spans="1:9" ht="19.5" customHeight="1">
      <c r="A45" s="212" t="s">
        <v>230</v>
      </c>
      <c r="B45" s="62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0">
        <v>0</v>
      </c>
      <c r="I45" s="192"/>
    </row>
    <row r="46" spans="1:9" ht="19.5" customHeight="1">
      <c r="A46" s="212" t="s">
        <v>231</v>
      </c>
      <c r="B46" s="62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0">
        <v>0</v>
      </c>
      <c r="I46" s="192"/>
    </row>
    <row r="47" spans="1:9" ht="19.5" customHeight="1">
      <c r="A47" s="212" t="s">
        <v>232</v>
      </c>
      <c r="B47" s="62">
        <v>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0">
        <v>0</v>
      </c>
      <c r="I47" s="192"/>
    </row>
    <row r="48" spans="1:9" ht="19.5" customHeight="1">
      <c r="A48" s="212" t="s">
        <v>233</v>
      </c>
      <c r="B48" s="62">
        <v>1</v>
      </c>
      <c r="C48" s="62">
        <v>0</v>
      </c>
      <c r="D48" s="62">
        <v>1</v>
      </c>
      <c r="E48" s="62">
        <v>0</v>
      </c>
      <c r="F48" s="62">
        <v>0</v>
      </c>
      <c r="G48" s="62">
        <v>0</v>
      </c>
      <c r="H48" s="60">
        <v>0</v>
      </c>
      <c r="I48" s="192"/>
    </row>
    <row r="49" spans="1:9" ht="19.5" customHeight="1">
      <c r="A49" s="212" t="s">
        <v>234</v>
      </c>
      <c r="B49" s="62">
        <v>3</v>
      </c>
      <c r="C49" s="62">
        <v>0</v>
      </c>
      <c r="D49" s="62">
        <v>3</v>
      </c>
      <c r="E49" s="62">
        <v>0</v>
      </c>
      <c r="F49" s="62">
        <v>0</v>
      </c>
      <c r="G49" s="62">
        <v>0</v>
      </c>
      <c r="H49" s="60">
        <v>0</v>
      </c>
      <c r="I49" s="192"/>
    </row>
    <row r="50" spans="1:9" ht="19.5" customHeight="1">
      <c r="A50" s="212" t="s">
        <v>235</v>
      </c>
      <c r="B50" s="62">
        <v>65</v>
      </c>
      <c r="C50" s="62">
        <v>0</v>
      </c>
      <c r="D50" s="62">
        <v>63</v>
      </c>
      <c r="E50" s="62">
        <v>0</v>
      </c>
      <c r="F50" s="62">
        <v>0</v>
      </c>
      <c r="G50" s="62">
        <v>0</v>
      </c>
      <c r="H50" s="60">
        <v>0</v>
      </c>
      <c r="I50" s="192"/>
    </row>
    <row r="51" spans="1:9" ht="19.5" customHeight="1">
      <c r="A51" s="219" t="s">
        <v>14</v>
      </c>
      <c r="B51" s="233">
        <f>SUM(B41:B50)</f>
        <v>71</v>
      </c>
      <c r="C51" s="233">
        <f t="shared" ref="C51:H51" si="0">SUM(C41:C50)</f>
        <v>0</v>
      </c>
      <c r="D51" s="233">
        <f t="shared" si="0"/>
        <v>68</v>
      </c>
      <c r="E51" s="233">
        <f t="shared" si="0"/>
        <v>0</v>
      </c>
      <c r="F51" s="233">
        <f t="shared" si="0"/>
        <v>1</v>
      </c>
      <c r="G51" s="233">
        <f t="shared" si="0"/>
        <v>0</v>
      </c>
      <c r="H51" s="234">
        <f t="shared" si="0"/>
        <v>0</v>
      </c>
      <c r="I51" s="245"/>
    </row>
    <row r="52" spans="1:9" ht="19.5" customHeight="1">
      <c r="B52" s="158"/>
      <c r="C52" s="158"/>
      <c r="D52" s="158"/>
      <c r="E52" s="158"/>
      <c r="F52" s="158"/>
      <c r="G52" s="158"/>
      <c r="H52" s="158"/>
    </row>
    <row r="53" spans="1:9" ht="19.5" customHeight="1">
      <c r="A53"/>
      <c r="B53"/>
      <c r="C53"/>
      <c r="D53"/>
    </row>
    <row r="54" spans="1:9" ht="30" customHeight="1">
      <c r="A54" s="555" t="s">
        <v>236</v>
      </c>
      <c r="B54" s="556"/>
      <c r="C54" s="556"/>
      <c r="D54" s="557"/>
    </row>
    <row r="55" spans="1:9" ht="41.1" customHeight="1">
      <c r="A55" s="541" t="s">
        <v>237</v>
      </c>
      <c r="B55" s="542"/>
      <c r="C55" s="235">
        <v>2</v>
      </c>
      <c r="D55" s="547">
        <f>C55/C56</f>
        <v>4.0816326530612242E-2</v>
      </c>
    </row>
    <row r="56" spans="1:9" ht="33.950000000000003" customHeight="1">
      <c r="A56" s="543" t="s">
        <v>238</v>
      </c>
      <c r="B56" s="544"/>
      <c r="C56" s="236">
        <v>49</v>
      </c>
      <c r="D56" s="548"/>
    </row>
    <row r="57" spans="1:9" ht="80.099999999999994" customHeight="1">
      <c r="A57" s="545" t="s">
        <v>239</v>
      </c>
      <c r="B57" s="546"/>
      <c r="C57" s="546"/>
      <c r="D57" s="546"/>
      <c r="H57" s="237"/>
    </row>
    <row r="61" spans="1:9" ht="38.1" customHeight="1"/>
    <row r="62" spans="1:9" ht="27" customHeight="1"/>
    <row r="65" ht="29.1" customHeight="1"/>
    <row r="66" ht="26.1" customHeight="1"/>
  </sheetData>
  <mergeCells count="25">
    <mergeCell ref="A1:I1"/>
    <mergeCell ref="B3:E3"/>
    <mergeCell ref="B4:C4"/>
    <mergeCell ref="A6:B6"/>
    <mergeCell ref="A7:B7"/>
    <mergeCell ref="A8:B8"/>
    <mergeCell ref="A10:F10"/>
    <mergeCell ref="B11:C11"/>
    <mergeCell ref="D11:E11"/>
    <mergeCell ref="B12:C12"/>
    <mergeCell ref="D12:E12"/>
    <mergeCell ref="B14:F14"/>
    <mergeCell ref="B18:D18"/>
    <mergeCell ref="A21:F21"/>
    <mergeCell ref="A24:B24"/>
    <mergeCell ref="D24:I24"/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8" zoomScaleNormal="100" zoomScaleSheetLayoutView="100" workbookViewId="0">
      <selection activeCell="F33" sqref="F33"/>
    </sheetView>
  </sheetViews>
  <sheetFormatPr defaultColWidth="9" defaultRowHeight="17.25" customHeight="1"/>
  <cols>
    <col min="1" max="1" width="47.42578125" style="158" customWidth="1"/>
    <col min="2" max="2" width="20" style="159" customWidth="1"/>
    <col min="3" max="3" width="18.28515625" style="159" customWidth="1"/>
    <col min="4" max="4" width="17.85546875" style="159" customWidth="1"/>
    <col min="5" max="5" width="14.28515625" style="159" customWidth="1"/>
    <col min="6" max="6" width="18.7109375" style="159" customWidth="1"/>
    <col min="7" max="9" width="14.28515625" style="158" customWidth="1"/>
    <col min="10" max="10" width="16.85546875" style="158" customWidth="1"/>
    <col min="11" max="16383" width="9.140625" style="158"/>
    <col min="16384" max="16384" width="9" style="158"/>
  </cols>
  <sheetData>
    <row r="1" spans="1:10" s="157" customFormat="1" ht="17.25" customHeight="1">
      <c r="A1" s="597" t="s">
        <v>240</v>
      </c>
      <c r="B1" s="598"/>
      <c r="C1" s="598"/>
      <c r="D1" s="598"/>
      <c r="E1" s="598"/>
      <c r="F1" s="598"/>
      <c r="G1" s="598"/>
      <c r="H1" s="598"/>
      <c r="I1" s="598"/>
      <c r="J1" s="598"/>
    </row>
    <row r="2" spans="1:10" s="157" customFormat="1" ht="17.25" customHeight="1">
      <c r="A2" s="160"/>
      <c r="B2" s="161"/>
      <c r="C2" s="161"/>
      <c r="D2" s="161"/>
      <c r="E2" s="162"/>
      <c r="F2" s="162"/>
    </row>
    <row r="3" spans="1:10" s="157" customFormat="1" ht="17.25" customHeight="1">
      <c r="A3" s="163" t="s">
        <v>6</v>
      </c>
      <c r="B3" s="599" t="str">
        <f>Capa!D5</f>
        <v>HOSPITAL REGIONAL TEREZINHA GAIO BASSO</v>
      </c>
      <c r="C3" s="600"/>
      <c r="D3" s="600"/>
      <c r="E3" s="600"/>
      <c r="F3" s="162"/>
    </row>
    <row r="4" spans="1:10" s="157" customFormat="1" ht="17.25" customHeight="1">
      <c r="A4" s="163" t="s">
        <v>7</v>
      </c>
      <c r="B4" s="601">
        <f>Leitos!B4</f>
        <v>45870</v>
      </c>
      <c r="C4" s="601"/>
      <c r="D4" s="164"/>
      <c r="E4" s="164"/>
      <c r="F4" s="162"/>
    </row>
    <row r="5" spans="1:10" s="157" customFormat="1" ht="17.25" customHeight="1">
      <c r="A5" s="163"/>
      <c r="B5" s="165"/>
      <c r="C5" s="165"/>
      <c r="D5" s="164"/>
      <c r="E5" s="164"/>
      <c r="F5" s="162"/>
    </row>
    <row r="6" spans="1:10" s="157" customFormat="1" ht="17.25" customHeight="1">
      <c r="A6" s="549" t="s">
        <v>241</v>
      </c>
      <c r="B6" s="554"/>
      <c r="C6" s="554"/>
      <c r="D6" s="554"/>
      <c r="E6" s="554"/>
      <c r="F6" s="550"/>
    </row>
    <row r="7" spans="1:10" s="157" customFormat="1" ht="57" customHeight="1">
      <c r="A7" s="602" t="s">
        <v>242</v>
      </c>
      <c r="B7" s="572"/>
      <c r="C7" s="603" t="s">
        <v>243</v>
      </c>
      <c r="D7" s="603"/>
      <c r="E7" s="603" t="s">
        <v>244</v>
      </c>
      <c r="F7" s="604"/>
    </row>
    <row r="8" spans="1:10" s="157" customFormat="1" ht="33" customHeight="1">
      <c r="A8" s="594" t="s">
        <v>245</v>
      </c>
      <c r="B8" s="595"/>
      <c r="C8" s="572">
        <v>2322</v>
      </c>
      <c r="D8" s="572"/>
      <c r="E8" s="572">
        <v>153</v>
      </c>
      <c r="F8" s="596"/>
    </row>
    <row r="9" spans="1:10" s="157" customFormat="1" ht="17.25" customHeight="1">
      <c r="A9" s="594" t="s">
        <v>246</v>
      </c>
      <c r="B9" s="595"/>
      <c r="C9" s="572">
        <v>709</v>
      </c>
      <c r="D9" s="572"/>
      <c r="E9" s="572">
        <v>199</v>
      </c>
      <c r="F9" s="596"/>
    </row>
    <row r="10" spans="1:10" s="157" customFormat="1" ht="28.5" customHeight="1">
      <c r="A10" s="594" t="s">
        <v>247</v>
      </c>
      <c r="B10" s="595"/>
      <c r="C10" s="572">
        <v>7518</v>
      </c>
      <c r="D10" s="572"/>
      <c r="E10" s="572">
        <v>232</v>
      </c>
      <c r="F10" s="596"/>
    </row>
    <row r="11" spans="1:10" s="157" customFormat="1" ht="17.25" customHeight="1">
      <c r="A11" s="594" t="s">
        <v>248</v>
      </c>
      <c r="B11" s="595"/>
      <c r="C11" s="572">
        <v>609</v>
      </c>
      <c r="D11" s="572"/>
      <c r="E11" s="572">
        <v>62</v>
      </c>
      <c r="F11" s="596"/>
    </row>
    <row r="12" spans="1:10" s="157" customFormat="1" ht="17.25" customHeight="1">
      <c r="A12" s="588" t="s">
        <v>14</v>
      </c>
      <c r="B12" s="589"/>
      <c r="C12" s="590">
        <f>SUM(C8:D11)</f>
        <v>11158</v>
      </c>
      <c r="D12" s="590"/>
      <c r="E12" s="590">
        <f>SUM(E8:F11)</f>
        <v>646</v>
      </c>
      <c r="F12" s="591"/>
    </row>
    <row r="13" spans="1:10" s="157" customFormat="1" ht="18" customHeight="1">
      <c r="A13" s="166"/>
      <c r="B13" s="167"/>
      <c r="C13" s="162"/>
      <c r="D13" s="168"/>
      <c r="E13" s="164"/>
      <c r="F13" s="162"/>
    </row>
    <row r="14" spans="1:10" ht="17.25" customHeight="1">
      <c r="A14" s="536" t="s">
        <v>249</v>
      </c>
      <c r="B14" s="537"/>
      <c r="C14" s="537"/>
      <c r="D14" s="537"/>
      <c r="E14" s="537"/>
      <c r="F14" s="537"/>
      <c r="G14" s="537"/>
      <c r="H14" s="537"/>
      <c r="I14" s="537"/>
      <c r="J14" s="537"/>
    </row>
    <row r="15" spans="1:10" ht="38.1" customHeight="1">
      <c r="A15" s="169" t="s">
        <v>250</v>
      </c>
      <c r="B15" s="170" t="s">
        <v>251</v>
      </c>
      <c r="C15" s="170" t="s">
        <v>252</v>
      </c>
      <c r="D15" s="170" t="s">
        <v>253</v>
      </c>
      <c r="E15" s="170" t="s">
        <v>254</v>
      </c>
      <c r="F15" s="170" t="s">
        <v>255</v>
      </c>
      <c r="G15" s="170" t="s">
        <v>256</v>
      </c>
      <c r="H15" s="170" t="s">
        <v>493</v>
      </c>
      <c r="I15" s="170" t="s">
        <v>257</v>
      </c>
      <c r="J15" s="178" t="s">
        <v>258</v>
      </c>
    </row>
    <row r="16" spans="1:10" ht="17.25" customHeight="1">
      <c r="A16" s="171" t="s">
        <v>259</v>
      </c>
      <c r="B16" s="172">
        <f>C8</f>
        <v>2322</v>
      </c>
      <c r="C16" s="173">
        <v>210</v>
      </c>
      <c r="D16" s="173">
        <v>1226</v>
      </c>
      <c r="E16" s="173">
        <v>71</v>
      </c>
      <c r="F16" s="173">
        <v>23</v>
      </c>
      <c r="G16" s="174">
        <f>SUM(C16:F16)</f>
        <v>1530</v>
      </c>
      <c r="H16" s="406">
        <f>(E8/C8)*100</f>
        <v>6.5891472868217065</v>
      </c>
      <c r="I16" s="175">
        <f>(C16+D16)/G16</f>
        <v>0.93856209150326797</v>
      </c>
      <c r="J16" s="179">
        <f>(E16+F16)/G16</f>
        <v>6.1437908496732023E-2</v>
      </c>
    </row>
    <row r="17" spans="1:10" ht="17.25" customHeight="1">
      <c r="A17" s="171" t="s">
        <v>260</v>
      </c>
      <c r="B17" s="172">
        <f>C9</f>
        <v>709</v>
      </c>
      <c r="C17" s="173">
        <v>397</v>
      </c>
      <c r="D17" s="173">
        <v>1350</v>
      </c>
      <c r="E17" s="173">
        <v>44</v>
      </c>
      <c r="F17" s="173">
        <v>0</v>
      </c>
      <c r="G17" s="174">
        <f>SUM(C17:F17)</f>
        <v>1791</v>
      </c>
      <c r="H17" s="406">
        <f>(E9/C9)*100</f>
        <v>28.067700987306065</v>
      </c>
      <c r="I17" s="175">
        <f>(C17+D17)/G17</f>
        <v>0.97543271915131213</v>
      </c>
      <c r="J17" s="179">
        <f>(E17+F17)/G17</f>
        <v>2.4567280848687884E-2</v>
      </c>
    </row>
    <row r="18" spans="1:10" ht="17.25" customHeight="1">
      <c r="A18" s="171" t="s">
        <v>261</v>
      </c>
      <c r="B18" s="172">
        <f>C10</f>
        <v>7518</v>
      </c>
      <c r="C18" s="173">
        <v>264</v>
      </c>
      <c r="D18" s="173">
        <v>1787</v>
      </c>
      <c r="E18" s="173">
        <v>33</v>
      </c>
      <c r="F18" s="173">
        <v>4</v>
      </c>
      <c r="G18" s="174">
        <f>SUM(C18:F18)</f>
        <v>2088</v>
      </c>
      <c r="H18" s="406">
        <f>(E10/C10)*100</f>
        <v>3.0859271082734772</v>
      </c>
      <c r="I18" s="175">
        <f>(C18+D18)/G18</f>
        <v>0.98227969348659006</v>
      </c>
      <c r="J18" s="179">
        <f>(E18+F18)/G18</f>
        <v>1.7720306513409962E-2</v>
      </c>
    </row>
    <row r="19" spans="1:10" ht="17.25" customHeight="1">
      <c r="A19" s="171" t="s">
        <v>262</v>
      </c>
      <c r="B19" s="172">
        <f>C11</f>
        <v>609</v>
      </c>
      <c r="C19" s="173">
        <v>113</v>
      </c>
      <c r="D19" s="173">
        <v>437</v>
      </c>
      <c r="E19" s="173">
        <v>13</v>
      </c>
      <c r="F19" s="173">
        <v>0</v>
      </c>
      <c r="G19" s="174">
        <f>SUM(C19:F19)</f>
        <v>563</v>
      </c>
      <c r="H19" s="406">
        <f>(E11/C11)*100</f>
        <v>10.180623973727423</v>
      </c>
      <c r="I19" s="175">
        <f>(C19+D19)/G19</f>
        <v>0.9769094138543517</v>
      </c>
      <c r="J19" s="179">
        <f>(E19+F19)/G19</f>
        <v>2.3090586145648313E-2</v>
      </c>
    </row>
    <row r="20" spans="1:10" ht="17.25" customHeight="1">
      <c r="A20" s="176" t="s">
        <v>263</v>
      </c>
      <c r="B20" s="412">
        <f>SUM(B16+B18+B17+B19)</f>
        <v>11158</v>
      </c>
      <c r="C20" s="412">
        <f>SUM(C16+C18+C17+C19)</f>
        <v>984</v>
      </c>
      <c r="D20" s="412">
        <f>SUM(D16+D18+D17+D19)</f>
        <v>4800</v>
      </c>
      <c r="E20" s="412">
        <f>SUM(E16+E18+E17+E19)</f>
        <v>161</v>
      </c>
      <c r="F20" s="412">
        <f>SUM(F16+F18+F17+F19)</f>
        <v>27</v>
      </c>
      <c r="G20" s="412">
        <f>SUM(G16:G19)</f>
        <v>5972</v>
      </c>
      <c r="H20" s="413">
        <f>SUM(H16:H19)</f>
        <v>47.92339935612867</v>
      </c>
      <c r="I20" s="177">
        <f>(C20+D20)/G20</f>
        <v>0.96851975887474884</v>
      </c>
      <c r="J20" s="414">
        <f>(E20+F20)/G20</f>
        <v>3.148024112525117E-2</v>
      </c>
    </row>
    <row r="21" spans="1:10" ht="17.25" customHeight="1">
      <c r="A21" s="592" t="s">
        <v>264</v>
      </c>
      <c r="B21" s="593"/>
      <c r="C21" s="593"/>
      <c r="D21" s="593"/>
      <c r="E21" s="593"/>
      <c r="F21" s="593"/>
      <c r="G21" s="593"/>
      <c r="H21" s="593"/>
      <c r="I21" s="593"/>
      <c r="J21" s="593"/>
    </row>
    <row r="22" spans="1:10" ht="17.25" customHeight="1">
      <c r="A22" s="593"/>
      <c r="B22" s="593"/>
      <c r="C22" s="593"/>
      <c r="D22" s="593"/>
      <c r="E22" s="593"/>
      <c r="F22" s="593"/>
      <c r="G22" s="593"/>
      <c r="H22" s="593"/>
      <c r="I22" s="593"/>
      <c r="J22" s="593"/>
    </row>
  </sheetData>
  <mergeCells count="24">
    <mergeCell ref="A1:J1"/>
    <mergeCell ref="B3:E3"/>
    <mergeCell ref="B4:C4"/>
    <mergeCell ref="A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4:J14"/>
    <mergeCell ref="A21:J22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view="pageLayout" topLeftCell="A2" zoomScale="70" zoomScaleNormal="100" zoomScaleSheetLayoutView="80" zoomScalePageLayoutView="70" workbookViewId="0">
      <selection activeCell="O28" sqref="O28"/>
    </sheetView>
  </sheetViews>
  <sheetFormatPr defaultColWidth="9" defaultRowHeight="15"/>
  <cols>
    <col min="1" max="1" width="35.140625" style="92" customWidth="1"/>
    <col min="2" max="2" width="12.5703125" style="93" customWidth="1"/>
    <col min="3" max="3" width="12.28515625" style="94" customWidth="1"/>
    <col min="4" max="4" width="47.85546875" style="94" customWidth="1"/>
    <col min="5" max="6" width="8" style="94" customWidth="1"/>
    <col min="7" max="7" width="8" style="93" customWidth="1"/>
    <col min="8" max="8" width="10.7109375" style="93" customWidth="1"/>
    <col min="9" max="9" width="41" style="93" customWidth="1"/>
    <col min="10" max="12" width="14.5703125" style="92" customWidth="1"/>
    <col min="13" max="16381" width="9.140625" style="92"/>
    <col min="16382" max="16384" width="9" style="92"/>
  </cols>
  <sheetData>
    <row r="1" spans="1:12" ht="18.600000000000001" customHeight="1">
      <c r="A1" s="614" t="s">
        <v>265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6"/>
    </row>
    <row r="2" spans="1:12" ht="18.600000000000001" customHeight="1">
      <c r="A2" s="95"/>
      <c r="B2" s="96"/>
      <c r="C2" s="97"/>
      <c r="D2" s="97"/>
      <c r="E2" s="97"/>
      <c r="F2" s="97"/>
      <c r="G2" s="97"/>
      <c r="H2" s="97"/>
      <c r="I2" s="96"/>
      <c r="J2" s="138"/>
      <c r="K2" s="138"/>
      <c r="L2" s="139"/>
    </row>
    <row r="3" spans="1:12" ht="18.600000000000001" customHeight="1">
      <c r="A3" s="98" t="s">
        <v>6</v>
      </c>
      <c r="B3" s="617" t="str">
        <f>Capa!D5</f>
        <v>HOSPITAL REGIONAL TEREZINHA GAIO BASSO</v>
      </c>
      <c r="C3" s="618"/>
      <c r="D3" s="618"/>
      <c r="E3" s="618"/>
      <c r="G3" s="94"/>
      <c r="H3" s="94"/>
      <c r="I3" s="128"/>
      <c r="L3" s="125"/>
    </row>
    <row r="4" spans="1:12" ht="18.600000000000001" customHeight="1">
      <c r="A4" s="98" t="s">
        <v>7</v>
      </c>
      <c r="B4" s="619">
        <f>Leitos!B4</f>
        <v>45870</v>
      </c>
      <c r="C4" s="619"/>
      <c r="G4" s="94"/>
      <c r="H4" s="94"/>
      <c r="L4" s="125"/>
    </row>
    <row r="5" spans="1:12" ht="18.600000000000001" customHeight="1">
      <c r="A5" s="98"/>
      <c r="G5" s="94"/>
      <c r="H5" s="94"/>
      <c r="L5" s="125"/>
    </row>
    <row r="6" spans="1:12" ht="18.600000000000001" customHeight="1">
      <c r="A6" s="605" t="s">
        <v>266</v>
      </c>
      <c r="B6" s="606"/>
      <c r="C6" s="99"/>
      <c r="D6" s="620" t="s">
        <v>267</v>
      </c>
      <c r="E6" s="621"/>
      <c r="F6" s="621"/>
      <c r="G6" s="622"/>
      <c r="H6" s="92"/>
      <c r="I6" s="623" t="s">
        <v>268</v>
      </c>
      <c r="J6" s="624"/>
      <c r="K6" s="624"/>
      <c r="L6" s="625"/>
    </row>
    <row r="7" spans="1:12" ht="18.600000000000001" customHeight="1">
      <c r="A7" s="100"/>
      <c r="B7" s="101" t="s">
        <v>41</v>
      </c>
      <c r="C7" s="99"/>
      <c r="D7" s="102" t="s">
        <v>269</v>
      </c>
      <c r="E7" s="608"/>
      <c r="F7" s="608"/>
      <c r="G7" s="609"/>
      <c r="H7" s="103"/>
      <c r="I7" s="607" t="s">
        <v>269</v>
      </c>
      <c r="J7" s="610"/>
      <c r="K7" s="610"/>
      <c r="L7" s="611"/>
    </row>
    <row r="8" spans="1:12" ht="30">
      <c r="A8" s="104" t="s">
        <v>270</v>
      </c>
      <c r="B8" s="105">
        <f>B19+B29+B38+K26+B52+F73</f>
        <v>534</v>
      </c>
      <c r="C8" s="99"/>
      <c r="D8" s="102"/>
      <c r="E8" s="106" t="s">
        <v>271</v>
      </c>
      <c r="F8" s="106" t="s">
        <v>272</v>
      </c>
      <c r="G8" s="107" t="s">
        <v>273</v>
      </c>
      <c r="H8" s="103"/>
      <c r="I8" s="607"/>
      <c r="J8" s="106" t="s">
        <v>271</v>
      </c>
      <c r="K8" s="106" t="s">
        <v>272</v>
      </c>
      <c r="L8" s="107" t="s">
        <v>273</v>
      </c>
    </row>
    <row r="9" spans="1:12" ht="18.600000000000001" customHeight="1">
      <c r="A9" s="108"/>
      <c r="B9" s="109" t="str">
        <f>IF(B19+B29+B38+B48+B52+E73+F73+G73+J26+K26+L26=B8,"OK","REVER")</f>
        <v>OK</v>
      </c>
      <c r="C9" s="99"/>
      <c r="D9" s="110" t="s">
        <v>274</v>
      </c>
      <c r="E9" s="111"/>
      <c r="F9" s="111">
        <v>1</v>
      </c>
      <c r="G9" s="112"/>
      <c r="H9" s="92"/>
      <c r="I9" s="110" t="s">
        <v>275</v>
      </c>
      <c r="J9" s="140"/>
      <c r="K9" s="140">
        <v>2</v>
      </c>
      <c r="L9" s="141"/>
    </row>
    <row r="10" spans="1:12" ht="18.600000000000001" customHeight="1">
      <c r="A10" s="108"/>
      <c r="B10" s="92"/>
      <c r="C10" s="99"/>
      <c r="D10" s="110" t="s">
        <v>276</v>
      </c>
      <c r="E10" s="111"/>
      <c r="F10" s="111">
        <v>1</v>
      </c>
      <c r="G10" s="112"/>
      <c r="H10" s="92"/>
      <c r="I10" s="110" t="s">
        <v>277</v>
      </c>
      <c r="J10" s="140"/>
      <c r="K10" s="140">
        <v>16</v>
      </c>
      <c r="L10" s="141"/>
    </row>
    <row r="11" spans="1:12" ht="18.600000000000001" customHeight="1">
      <c r="A11" s="605" t="s">
        <v>278</v>
      </c>
      <c r="B11" s="606"/>
      <c r="C11" s="99"/>
      <c r="D11" s="110" t="s">
        <v>279</v>
      </c>
      <c r="E11" s="111"/>
      <c r="F11" s="111">
        <v>1</v>
      </c>
      <c r="G11" s="112"/>
      <c r="H11" s="92"/>
      <c r="I11" s="110" t="s">
        <v>280</v>
      </c>
      <c r="J11" s="140"/>
      <c r="K11" s="140">
        <v>0</v>
      </c>
      <c r="L11" s="141"/>
    </row>
    <row r="12" spans="1:12" ht="18.600000000000001" customHeight="1">
      <c r="A12" s="100"/>
      <c r="B12" s="101" t="s">
        <v>41</v>
      </c>
      <c r="C12" s="99"/>
      <c r="D12" s="110" t="s">
        <v>281</v>
      </c>
      <c r="E12" s="111"/>
      <c r="F12" s="111">
        <v>1</v>
      </c>
      <c r="G12" s="112"/>
      <c r="H12" s="92"/>
      <c r="I12" s="110" t="s">
        <v>282</v>
      </c>
      <c r="J12" s="140"/>
      <c r="K12" s="140">
        <v>6</v>
      </c>
      <c r="L12" s="141"/>
    </row>
    <row r="13" spans="1:12" ht="18.600000000000001" customHeight="1">
      <c r="A13" s="100" t="s">
        <v>283</v>
      </c>
      <c r="B13" s="113">
        <v>13</v>
      </c>
      <c r="C13" s="99"/>
      <c r="D13" s="110" t="s">
        <v>284</v>
      </c>
      <c r="E13" s="111"/>
      <c r="F13" s="111">
        <v>1</v>
      </c>
      <c r="G13" s="112"/>
      <c r="H13" s="92"/>
      <c r="I13" s="110" t="s">
        <v>285</v>
      </c>
      <c r="J13" s="140"/>
      <c r="K13" s="140">
        <v>6</v>
      </c>
      <c r="L13" s="141"/>
    </row>
    <row r="14" spans="1:12" ht="18.600000000000001" customHeight="1">
      <c r="A14" s="100" t="s">
        <v>286</v>
      </c>
      <c r="B14" s="113">
        <v>18</v>
      </c>
      <c r="C14" s="99"/>
      <c r="D14" s="110" t="s">
        <v>287</v>
      </c>
      <c r="E14" s="111"/>
      <c r="F14" s="111">
        <v>0</v>
      </c>
      <c r="G14" s="112"/>
      <c r="H14" s="92"/>
      <c r="I14" s="110" t="s">
        <v>288</v>
      </c>
      <c r="J14" s="140"/>
      <c r="K14" s="140">
        <v>2</v>
      </c>
      <c r="L14" s="141"/>
    </row>
    <row r="15" spans="1:12" ht="18.600000000000001" customHeight="1">
      <c r="A15" s="114" t="s">
        <v>289</v>
      </c>
      <c r="B15" s="115">
        <f>B22+B31+B40+F73+K26</f>
        <v>430</v>
      </c>
      <c r="C15" s="99"/>
      <c r="D15" s="110" t="s">
        <v>290</v>
      </c>
      <c r="E15" s="111"/>
      <c r="F15" s="111">
        <v>1</v>
      </c>
      <c r="G15" s="112"/>
      <c r="H15" s="92"/>
      <c r="I15" s="110" t="s">
        <v>291</v>
      </c>
      <c r="J15" s="140"/>
      <c r="K15" s="140">
        <v>1</v>
      </c>
      <c r="L15" s="141"/>
    </row>
    <row r="16" spans="1:12" ht="28.5" customHeight="1">
      <c r="A16" s="116"/>
      <c r="B16" s="117"/>
      <c r="C16" s="99"/>
      <c r="D16" s="110" t="s">
        <v>292</v>
      </c>
      <c r="E16" s="111"/>
      <c r="F16" s="111">
        <v>0</v>
      </c>
      <c r="G16" s="112"/>
      <c r="H16" s="92"/>
      <c r="I16" s="110" t="s">
        <v>293</v>
      </c>
      <c r="J16" s="140"/>
      <c r="K16" s="140">
        <v>7</v>
      </c>
      <c r="L16" s="141"/>
    </row>
    <row r="17" spans="1:12" ht="18.95" customHeight="1">
      <c r="A17" s="612" t="s">
        <v>294</v>
      </c>
      <c r="B17" s="613"/>
      <c r="C17" s="99"/>
      <c r="D17" s="110" t="s">
        <v>295</v>
      </c>
      <c r="E17" s="111"/>
      <c r="F17" s="111">
        <v>1</v>
      </c>
      <c r="G17" s="112"/>
      <c r="H17" s="92"/>
      <c r="I17" s="110" t="s">
        <v>296</v>
      </c>
      <c r="J17" s="140"/>
      <c r="K17" s="140">
        <v>1</v>
      </c>
      <c r="L17" s="141"/>
    </row>
    <row r="18" spans="1:12" ht="29.1" customHeight="1">
      <c r="A18" s="118"/>
      <c r="B18" s="119" t="s">
        <v>41</v>
      </c>
      <c r="C18" s="99"/>
      <c r="D18" s="110" t="s">
        <v>297</v>
      </c>
      <c r="E18" s="111"/>
      <c r="F18" s="111">
        <v>3</v>
      </c>
      <c r="G18" s="112"/>
      <c r="H18" s="92"/>
      <c r="I18" s="110" t="s">
        <v>298</v>
      </c>
      <c r="J18" s="140"/>
      <c r="K18" s="140">
        <v>12</v>
      </c>
      <c r="L18" s="141"/>
    </row>
    <row r="19" spans="1:12" ht="31.5" customHeight="1">
      <c r="A19" s="114" t="s">
        <v>299</v>
      </c>
      <c r="B19" s="120">
        <f>SUM(B20:B23)</f>
        <v>97</v>
      </c>
      <c r="C19" s="99"/>
      <c r="D19" s="110" t="s">
        <v>300</v>
      </c>
      <c r="E19" s="111"/>
      <c r="F19" s="111">
        <v>1</v>
      </c>
      <c r="G19" s="112"/>
      <c r="H19" s="92"/>
      <c r="I19" s="110" t="s">
        <v>301</v>
      </c>
      <c r="J19" s="140"/>
      <c r="K19" s="140">
        <v>1</v>
      </c>
      <c r="L19" s="141"/>
    </row>
    <row r="20" spans="1:12" ht="18.600000000000001" customHeight="1">
      <c r="A20" s="100" t="s">
        <v>302</v>
      </c>
      <c r="B20" s="121">
        <v>97</v>
      </c>
      <c r="C20" s="99"/>
      <c r="D20" s="110" t="s">
        <v>303</v>
      </c>
      <c r="E20" s="111"/>
      <c r="F20" s="111">
        <v>1</v>
      </c>
      <c r="G20" s="112"/>
      <c r="H20" s="92"/>
      <c r="I20" s="110" t="s">
        <v>304</v>
      </c>
      <c r="J20" s="140"/>
      <c r="K20" s="140">
        <v>1</v>
      </c>
      <c r="L20" s="141"/>
    </row>
    <row r="21" spans="1:12" ht="18.600000000000001" customHeight="1">
      <c r="A21" s="122" t="s">
        <v>271</v>
      </c>
      <c r="B21" s="121">
        <v>0</v>
      </c>
      <c r="C21" s="99"/>
      <c r="D21" s="110" t="s">
        <v>305</v>
      </c>
      <c r="E21" s="111"/>
      <c r="F21" s="111">
        <v>1</v>
      </c>
      <c r="G21" s="112"/>
      <c r="H21" s="92"/>
      <c r="I21" s="110" t="s">
        <v>306</v>
      </c>
      <c r="J21" s="140"/>
      <c r="K21" s="140">
        <v>2</v>
      </c>
      <c r="L21" s="141"/>
    </row>
    <row r="22" spans="1:12" ht="18.600000000000001" customHeight="1">
      <c r="A22" s="122" t="s">
        <v>307</v>
      </c>
      <c r="B22" s="123">
        <v>0</v>
      </c>
      <c r="C22" s="93"/>
      <c r="D22" s="110" t="s">
        <v>308</v>
      </c>
      <c r="E22" s="111"/>
      <c r="F22" s="111">
        <v>4</v>
      </c>
      <c r="G22" s="112"/>
      <c r="H22" s="92"/>
      <c r="I22" s="136" t="s">
        <v>309</v>
      </c>
      <c r="J22" s="142"/>
      <c r="K22" s="142">
        <v>0</v>
      </c>
      <c r="L22" s="143"/>
    </row>
    <row r="23" spans="1:12" ht="18.600000000000001" customHeight="1">
      <c r="A23" s="114" t="s">
        <v>310</v>
      </c>
      <c r="B23" s="124">
        <v>0</v>
      </c>
      <c r="C23" s="93"/>
      <c r="D23" s="110" t="s">
        <v>311</v>
      </c>
      <c r="E23" s="111"/>
      <c r="F23" s="111">
        <v>2</v>
      </c>
      <c r="G23" s="112"/>
      <c r="H23" s="92"/>
      <c r="I23" s="135" t="s">
        <v>312</v>
      </c>
      <c r="J23" s="144"/>
      <c r="K23" s="144"/>
      <c r="L23" s="144"/>
    </row>
    <row r="24" spans="1:12" ht="18.600000000000001" customHeight="1">
      <c r="A24" s="116"/>
      <c r="B24" s="103"/>
      <c r="C24" s="93"/>
      <c r="D24" s="110" t="s">
        <v>313</v>
      </c>
      <c r="E24" s="111"/>
      <c r="F24" s="111">
        <v>7</v>
      </c>
      <c r="G24" s="112"/>
      <c r="H24" s="92"/>
      <c r="I24" s="144" t="s">
        <v>570</v>
      </c>
      <c r="J24" s="145"/>
      <c r="K24" s="106">
        <v>1</v>
      </c>
      <c r="L24" s="144"/>
    </row>
    <row r="25" spans="1:12" ht="18.600000000000001" customHeight="1">
      <c r="A25" s="116"/>
      <c r="B25" s="103"/>
      <c r="C25" s="93"/>
      <c r="D25" s="110" t="s">
        <v>314</v>
      </c>
      <c r="E25" s="111"/>
      <c r="F25" s="111">
        <v>10</v>
      </c>
      <c r="G25" s="112"/>
      <c r="H25" s="92"/>
      <c r="I25" s="144"/>
      <c r="J25" s="145"/>
      <c r="K25" s="144"/>
      <c r="L25" s="144"/>
    </row>
    <row r="26" spans="1:12" ht="18.600000000000001" customHeight="1">
      <c r="A26" s="108"/>
      <c r="B26" s="94"/>
      <c r="C26" s="93"/>
      <c r="D26" s="110" t="s">
        <v>315</v>
      </c>
      <c r="E26" s="111"/>
      <c r="F26" s="111">
        <v>27</v>
      </c>
      <c r="G26" s="112"/>
      <c r="H26" s="92"/>
      <c r="I26" s="126" t="s">
        <v>38</v>
      </c>
      <c r="J26" s="146">
        <f>SUM(J9:J25)</f>
        <v>0</v>
      </c>
      <c r="K26" s="146">
        <f>SUM(K9:K25)</f>
        <v>58</v>
      </c>
      <c r="L26" s="146">
        <f>SUM(L9:L25)</f>
        <v>0</v>
      </c>
    </row>
    <row r="27" spans="1:12">
      <c r="A27" s="605" t="s">
        <v>316</v>
      </c>
      <c r="B27" s="606"/>
      <c r="C27" s="93"/>
      <c r="D27" s="110" t="s">
        <v>317</v>
      </c>
      <c r="E27" s="92"/>
      <c r="F27" s="196">
        <v>1</v>
      </c>
      <c r="G27" s="125"/>
      <c r="H27" s="92"/>
      <c r="I27" s="92"/>
      <c r="J27" s="94"/>
      <c r="L27" s="125"/>
    </row>
    <row r="28" spans="1:12" ht="18.600000000000001" customHeight="1">
      <c r="A28" s="100"/>
      <c r="B28" s="101" t="s">
        <v>41</v>
      </c>
      <c r="C28" s="93"/>
      <c r="D28" s="110" t="s">
        <v>318</v>
      </c>
      <c r="E28" s="111"/>
      <c r="F28" s="111">
        <v>1</v>
      </c>
      <c r="G28" s="112"/>
      <c r="H28" s="92"/>
      <c r="I28" s="92"/>
      <c r="J28" s="94"/>
      <c r="L28" s="125"/>
    </row>
    <row r="29" spans="1:12">
      <c r="A29" s="114" t="s">
        <v>319</v>
      </c>
      <c r="B29" s="120">
        <f>SUM(B30:B32)</f>
        <v>43</v>
      </c>
      <c r="C29" s="93"/>
      <c r="D29" s="110" t="s">
        <v>320</v>
      </c>
      <c r="E29" s="111"/>
      <c r="F29" s="111">
        <v>1</v>
      </c>
      <c r="G29" s="112"/>
      <c r="H29" s="92"/>
      <c r="I29" s="92"/>
      <c r="J29" s="94"/>
      <c r="L29" s="125"/>
    </row>
    <row r="30" spans="1:12" ht="18.600000000000001" customHeight="1">
      <c r="A30" s="122"/>
      <c r="B30" s="121">
        <v>0</v>
      </c>
      <c r="D30" s="110" t="s">
        <v>321</v>
      </c>
      <c r="E30" s="111"/>
      <c r="F30" s="111">
        <v>1</v>
      </c>
      <c r="G30" s="112"/>
      <c r="H30" s="92"/>
      <c r="I30" s="92"/>
      <c r="J30" s="94"/>
      <c r="L30" s="125"/>
    </row>
    <row r="31" spans="1:12" ht="18.600000000000001" customHeight="1">
      <c r="A31" s="122" t="s">
        <v>307</v>
      </c>
      <c r="B31" s="123">
        <v>43</v>
      </c>
      <c r="D31" s="110" t="s">
        <v>322</v>
      </c>
      <c r="E31" s="126"/>
      <c r="F31" s="126">
        <v>0</v>
      </c>
      <c r="G31" s="127"/>
      <c r="H31" s="92"/>
      <c r="I31" s="92"/>
      <c r="J31" s="94"/>
      <c r="L31" s="125"/>
    </row>
    <row r="32" spans="1:12" ht="18.600000000000001" customHeight="1">
      <c r="A32" s="114" t="s">
        <v>310</v>
      </c>
      <c r="B32" s="124">
        <v>0</v>
      </c>
      <c r="D32" s="110" t="s">
        <v>323</v>
      </c>
      <c r="E32" s="126"/>
      <c r="F32" s="126">
        <v>9</v>
      </c>
      <c r="G32" s="127"/>
      <c r="H32" s="92"/>
      <c r="I32" s="92"/>
      <c r="J32" s="94"/>
      <c r="L32" s="125"/>
    </row>
    <row r="33" spans="1:12" ht="18.600000000000001" customHeight="1">
      <c r="A33" s="116"/>
      <c r="B33" s="103"/>
      <c r="C33" s="128"/>
      <c r="D33" s="110" t="s">
        <v>324</v>
      </c>
      <c r="E33" s="126"/>
      <c r="F33" s="126">
        <v>1</v>
      </c>
      <c r="G33" s="127"/>
      <c r="H33" s="92"/>
      <c r="I33" s="92"/>
      <c r="J33" s="94"/>
      <c r="L33" s="125"/>
    </row>
    <row r="34" spans="1:12" ht="18.600000000000001" customHeight="1">
      <c r="A34" s="116"/>
      <c r="B34" s="103"/>
      <c r="D34" s="110" t="s">
        <v>325</v>
      </c>
      <c r="E34" s="126"/>
      <c r="F34" s="126">
        <v>6</v>
      </c>
      <c r="G34" s="127"/>
      <c r="H34" s="92"/>
      <c r="I34" s="92"/>
      <c r="J34" s="94"/>
      <c r="L34" s="125"/>
    </row>
    <row r="35" spans="1:12" ht="18.600000000000001" customHeight="1">
      <c r="A35" s="129"/>
      <c r="D35" s="110" t="s">
        <v>326</v>
      </c>
      <c r="E35" s="126"/>
      <c r="F35" s="126">
        <v>1</v>
      </c>
      <c r="G35" s="127"/>
      <c r="H35" s="92"/>
      <c r="I35" s="92"/>
      <c r="L35" s="125"/>
    </row>
    <row r="36" spans="1:12" ht="18.600000000000001" customHeight="1">
      <c r="A36" s="605" t="s">
        <v>327</v>
      </c>
      <c r="B36" s="606"/>
      <c r="D36" s="110" t="s">
        <v>328</v>
      </c>
      <c r="E36" s="126"/>
      <c r="F36" s="126">
        <v>0</v>
      </c>
      <c r="G36" s="127"/>
      <c r="H36" s="92"/>
      <c r="I36" s="92"/>
      <c r="L36" s="125"/>
    </row>
    <row r="37" spans="1:12">
      <c r="A37" s="100"/>
      <c r="B37" s="101" t="s">
        <v>41</v>
      </c>
      <c r="D37" s="110" t="s">
        <v>329</v>
      </c>
      <c r="E37" s="126"/>
      <c r="F37" s="126">
        <v>1</v>
      </c>
      <c r="G37" s="127"/>
      <c r="H37" s="92"/>
      <c r="I37" s="92"/>
      <c r="L37" s="125"/>
    </row>
    <row r="38" spans="1:12">
      <c r="A38" s="104" t="s">
        <v>330</v>
      </c>
      <c r="B38" s="130">
        <f>SUM(B39:B41)</f>
        <v>179</v>
      </c>
      <c r="D38" s="110" t="s">
        <v>331</v>
      </c>
      <c r="E38" s="126"/>
      <c r="F38" s="126">
        <v>1</v>
      </c>
      <c r="G38" s="127"/>
      <c r="H38" s="92"/>
      <c r="I38" s="92"/>
      <c r="L38" s="125"/>
    </row>
    <row r="39" spans="1:12">
      <c r="A39" s="122" t="s">
        <v>271</v>
      </c>
      <c r="B39" s="121">
        <v>0</v>
      </c>
      <c r="D39" s="110" t="s">
        <v>332</v>
      </c>
      <c r="E39" s="126"/>
      <c r="F39" s="126">
        <v>2</v>
      </c>
      <c r="G39" s="127"/>
      <c r="H39" s="92"/>
      <c r="I39" s="92"/>
      <c r="L39" s="125"/>
    </row>
    <row r="40" spans="1:12">
      <c r="A40" s="122" t="s">
        <v>307</v>
      </c>
      <c r="B40" s="123">
        <v>179</v>
      </c>
      <c r="D40" s="110" t="s">
        <v>333</v>
      </c>
      <c r="E40" s="126"/>
      <c r="F40" s="126">
        <v>1</v>
      </c>
      <c r="G40" s="127"/>
      <c r="H40" s="92"/>
      <c r="I40" s="92"/>
      <c r="L40" s="125"/>
    </row>
    <row r="41" spans="1:12">
      <c r="A41" s="114" t="s">
        <v>310</v>
      </c>
      <c r="B41" s="124">
        <v>0</v>
      </c>
      <c r="D41" s="110" t="s">
        <v>334</v>
      </c>
      <c r="E41" s="126"/>
      <c r="F41" s="126">
        <v>1</v>
      </c>
      <c r="G41" s="127"/>
      <c r="H41" s="92"/>
      <c r="I41" s="92"/>
      <c r="L41" s="125"/>
    </row>
    <row r="42" spans="1:12">
      <c r="A42" s="116"/>
      <c r="B42" s="103"/>
      <c r="D42" s="110" t="s">
        <v>335</v>
      </c>
      <c r="E42" s="126"/>
      <c r="F42" s="126">
        <v>1</v>
      </c>
      <c r="G42" s="127"/>
      <c r="H42" s="92"/>
      <c r="I42" s="92"/>
      <c r="L42" s="125"/>
    </row>
    <row r="43" spans="1:12">
      <c r="A43" s="116"/>
      <c r="B43" s="103"/>
      <c r="D43" s="110" t="s">
        <v>336</v>
      </c>
      <c r="E43" s="126"/>
      <c r="F43" s="126">
        <v>0</v>
      </c>
      <c r="G43" s="127"/>
      <c r="H43" s="92"/>
      <c r="I43" s="92"/>
      <c r="L43" s="125"/>
    </row>
    <row r="44" spans="1:12">
      <c r="A44" s="108"/>
      <c r="D44" s="110" t="s">
        <v>337</v>
      </c>
      <c r="E44" s="126"/>
      <c r="F44" s="126">
        <v>1</v>
      </c>
      <c r="G44" s="127"/>
      <c r="H44" s="92"/>
      <c r="I44" s="92"/>
      <c r="L44" s="125"/>
    </row>
    <row r="45" spans="1:12" ht="30">
      <c r="A45" s="108"/>
      <c r="D45" s="110" t="s">
        <v>338</v>
      </c>
      <c r="E45" s="126"/>
      <c r="F45" s="126">
        <v>7</v>
      </c>
      <c r="G45" s="127"/>
      <c r="H45" s="92"/>
      <c r="I45" s="92"/>
      <c r="L45" s="125"/>
    </row>
    <row r="46" spans="1:12">
      <c r="A46" s="605" t="s">
        <v>339</v>
      </c>
      <c r="B46" s="606"/>
      <c r="D46" s="110" t="s">
        <v>340</v>
      </c>
      <c r="E46" s="126"/>
      <c r="F46" s="126">
        <v>1</v>
      </c>
      <c r="G46" s="127"/>
      <c r="H46" s="92"/>
      <c r="I46" s="92"/>
      <c r="L46" s="125"/>
    </row>
    <row r="47" spans="1:12">
      <c r="A47" s="100"/>
      <c r="B47" s="101" t="s">
        <v>41</v>
      </c>
      <c r="D47" s="110" t="s">
        <v>341</v>
      </c>
      <c r="E47" s="126"/>
      <c r="F47" s="126">
        <v>0</v>
      </c>
      <c r="G47" s="127"/>
      <c r="H47" s="92"/>
      <c r="I47" s="92"/>
      <c r="L47" s="125"/>
    </row>
    <row r="48" spans="1:12" ht="30">
      <c r="A48" s="104" t="s">
        <v>342</v>
      </c>
      <c r="B48" s="105">
        <v>0</v>
      </c>
      <c r="D48" s="110" t="s">
        <v>343</v>
      </c>
      <c r="E48" s="126"/>
      <c r="F48" s="126">
        <v>2</v>
      </c>
      <c r="G48" s="127"/>
      <c r="H48" s="92"/>
      <c r="I48" s="92"/>
      <c r="L48" s="125"/>
    </row>
    <row r="49" spans="1:12">
      <c r="A49" s="108"/>
      <c r="D49" s="110" t="s">
        <v>344</v>
      </c>
      <c r="E49" s="126"/>
      <c r="F49" s="126">
        <v>1</v>
      </c>
      <c r="G49" s="127"/>
      <c r="H49" s="92"/>
      <c r="I49" s="92"/>
      <c r="L49" s="125"/>
    </row>
    <row r="50" spans="1:12">
      <c r="A50" s="605" t="s">
        <v>345</v>
      </c>
      <c r="B50" s="606"/>
      <c r="D50" s="110" t="s">
        <v>346</v>
      </c>
      <c r="E50" s="126"/>
      <c r="F50" s="126">
        <v>2</v>
      </c>
      <c r="G50" s="127"/>
      <c r="H50" s="92"/>
      <c r="I50" s="92"/>
      <c r="L50" s="125"/>
    </row>
    <row r="51" spans="1:12">
      <c r="A51" s="118"/>
      <c r="B51" s="101" t="s">
        <v>41</v>
      </c>
      <c r="D51" s="110" t="s">
        <v>347</v>
      </c>
      <c r="E51" s="126"/>
      <c r="F51" s="126">
        <v>19</v>
      </c>
      <c r="G51" s="127"/>
      <c r="H51" s="92"/>
      <c r="I51" s="92"/>
      <c r="L51" s="125"/>
    </row>
    <row r="52" spans="1:12">
      <c r="A52" s="131" t="s">
        <v>348</v>
      </c>
      <c r="B52" s="132">
        <v>7</v>
      </c>
      <c r="D52" s="110" t="s">
        <v>349</v>
      </c>
      <c r="E52" s="126"/>
      <c r="F52" s="126">
        <v>1</v>
      </c>
      <c r="G52" s="127"/>
      <c r="H52" s="92"/>
      <c r="I52" s="92"/>
      <c r="L52" s="125"/>
    </row>
    <row r="53" spans="1:12">
      <c r="A53" s="133"/>
      <c r="B53" s="121">
        <v>0</v>
      </c>
      <c r="D53" s="110" t="s">
        <v>350</v>
      </c>
      <c r="E53" s="126"/>
      <c r="F53" s="126">
        <v>1</v>
      </c>
      <c r="G53" s="127"/>
      <c r="H53" s="92"/>
      <c r="I53" s="92"/>
      <c r="L53" s="125"/>
    </row>
    <row r="54" spans="1:12">
      <c r="A54" s="133"/>
      <c r="B54" s="121">
        <v>0</v>
      </c>
      <c r="D54" s="110" t="s">
        <v>351</v>
      </c>
      <c r="E54" s="126"/>
      <c r="F54" s="126">
        <v>0</v>
      </c>
      <c r="G54" s="127"/>
      <c r="H54" s="92"/>
      <c r="I54" s="92"/>
      <c r="L54" s="125"/>
    </row>
    <row r="55" spans="1:12">
      <c r="A55" s="100"/>
      <c r="B55" s="121">
        <v>0</v>
      </c>
      <c r="D55" s="110" t="s">
        <v>352</v>
      </c>
      <c r="E55" s="126"/>
      <c r="F55" s="126">
        <v>1</v>
      </c>
      <c r="G55" s="127"/>
      <c r="H55" s="92"/>
      <c r="I55" s="92"/>
      <c r="L55" s="125"/>
    </row>
    <row r="56" spans="1:12">
      <c r="A56" s="134"/>
      <c r="B56" s="124">
        <v>0</v>
      </c>
      <c r="D56" s="110" t="s">
        <v>353</v>
      </c>
      <c r="E56" s="126"/>
      <c r="F56" s="126">
        <v>2</v>
      </c>
      <c r="G56" s="127"/>
      <c r="H56" s="92"/>
      <c r="I56" s="92"/>
      <c r="L56" s="125"/>
    </row>
    <row r="57" spans="1:12">
      <c r="A57" s="108"/>
      <c r="B57" s="92"/>
      <c r="D57" s="110" t="s">
        <v>354</v>
      </c>
      <c r="E57" s="126"/>
      <c r="F57" s="126">
        <v>2</v>
      </c>
      <c r="G57" s="127"/>
      <c r="H57" s="92"/>
      <c r="I57" s="92"/>
      <c r="L57" s="125"/>
    </row>
    <row r="58" spans="1:12">
      <c r="A58" s="108"/>
      <c r="D58" s="110" t="s">
        <v>355</v>
      </c>
      <c r="E58" s="126"/>
      <c r="F58" s="126">
        <v>2</v>
      </c>
      <c r="G58" s="127"/>
      <c r="H58" s="92"/>
      <c r="I58" s="92"/>
      <c r="L58" s="125"/>
    </row>
    <row r="59" spans="1:12">
      <c r="A59" s="108"/>
      <c r="D59" s="135" t="s">
        <v>312</v>
      </c>
      <c r="E59" s="126"/>
      <c r="F59" s="126"/>
      <c r="G59" s="127"/>
      <c r="H59" s="92"/>
      <c r="I59" s="92"/>
      <c r="L59" s="125"/>
    </row>
    <row r="60" spans="1:12">
      <c r="A60" s="108"/>
      <c r="D60" s="110" t="s">
        <v>564</v>
      </c>
      <c r="E60" s="126"/>
      <c r="F60" s="126">
        <v>1</v>
      </c>
      <c r="G60" s="127"/>
      <c r="H60" s="92"/>
      <c r="I60" s="92"/>
      <c r="L60" s="125"/>
    </row>
    <row r="61" spans="1:12">
      <c r="A61" s="108"/>
      <c r="D61" s="136" t="s">
        <v>565</v>
      </c>
      <c r="E61" s="126"/>
      <c r="F61" s="126">
        <v>1</v>
      </c>
      <c r="G61" s="127"/>
      <c r="H61" s="92"/>
      <c r="I61" s="92"/>
      <c r="L61" s="125"/>
    </row>
    <row r="62" spans="1:12">
      <c r="A62" s="108"/>
      <c r="C62" s="92"/>
      <c r="D62" s="137" t="s">
        <v>566</v>
      </c>
      <c r="E62" s="126"/>
      <c r="F62" s="126">
        <v>1</v>
      </c>
      <c r="G62" s="127"/>
      <c r="H62" s="92"/>
      <c r="I62" s="92"/>
      <c r="L62" s="125"/>
    </row>
    <row r="63" spans="1:12">
      <c r="A63" s="108"/>
      <c r="C63" s="92"/>
      <c r="D63" s="110" t="s">
        <v>567</v>
      </c>
      <c r="E63" s="126"/>
      <c r="F63" s="126">
        <v>5</v>
      </c>
      <c r="G63" s="126"/>
      <c r="H63" s="92"/>
      <c r="I63" s="92"/>
      <c r="L63" s="125"/>
    </row>
    <row r="64" spans="1:12">
      <c r="A64" s="108"/>
      <c r="D64" s="110" t="s">
        <v>568</v>
      </c>
      <c r="E64" s="126"/>
      <c r="F64" s="126">
        <v>3</v>
      </c>
      <c r="G64" s="126"/>
      <c r="L64" s="125"/>
    </row>
    <row r="65" spans="1:12">
      <c r="A65" s="108"/>
      <c r="D65" s="110" t="s">
        <v>573</v>
      </c>
      <c r="E65" s="126"/>
      <c r="F65" s="126">
        <v>1</v>
      </c>
      <c r="G65" s="126"/>
      <c r="L65" s="125"/>
    </row>
    <row r="66" spans="1:12">
      <c r="A66" s="108"/>
      <c r="D66" s="136" t="s">
        <v>569</v>
      </c>
      <c r="E66" s="147"/>
      <c r="F66" s="147">
        <v>2</v>
      </c>
      <c r="G66" s="147"/>
      <c r="L66" s="125"/>
    </row>
    <row r="67" spans="1:12">
      <c r="A67" s="108"/>
      <c r="D67" s="148" t="s">
        <v>571</v>
      </c>
      <c r="E67" s="126"/>
      <c r="F67" s="126">
        <v>1</v>
      </c>
      <c r="G67" s="126"/>
      <c r="H67" s="92"/>
      <c r="I67" s="92"/>
      <c r="L67" s="125"/>
    </row>
    <row r="68" spans="1:12">
      <c r="A68" s="108"/>
      <c r="D68" s="149" t="s">
        <v>572</v>
      </c>
      <c r="E68" s="147"/>
      <c r="F68" s="147">
        <v>1</v>
      </c>
      <c r="G68" s="147"/>
      <c r="I68" s="92"/>
      <c r="L68" s="125"/>
    </row>
    <row r="69" spans="1:12">
      <c r="A69" s="108"/>
      <c r="D69" s="148" t="s">
        <v>574</v>
      </c>
      <c r="E69" s="126"/>
      <c r="F69" s="126">
        <v>1</v>
      </c>
      <c r="G69" s="126"/>
      <c r="H69" s="92"/>
      <c r="I69" s="92"/>
      <c r="L69" s="125"/>
    </row>
    <row r="70" spans="1:12">
      <c r="A70" s="108"/>
      <c r="D70" s="145"/>
      <c r="E70" s="145"/>
      <c r="F70" s="145"/>
      <c r="G70" s="126"/>
      <c r="H70" s="92"/>
      <c r="I70" s="92"/>
      <c r="L70" s="125"/>
    </row>
    <row r="71" spans="1:12">
      <c r="A71" s="108"/>
      <c r="D71" s="145"/>
      <c r="E71" s="145"/>
      <c r="F71" s="144"/>
      <c r="G71" s="144"/>
      <c r="H71" s="92"/>
      <c r="I71" s="92"/>
      <c r="L71" s="125"/>
    </row>
    <row r="72" spans="1:12">
      <c r="A72" s="108"/>
      <c r="D72" s="145"/>
      <c r="E72" s="145"/>
      <c r="F72" s="144"/>
      <c r="G72" s="144"/>
      <c r="H72" s="92"/>
      <c r="I72" s="92"/>
      <c r="L72" s="125"/>
    </row>
    <row r="73" spans="1:12">
      <c r="A73" s="150"/>
      <c r="B73" s="151"/>
      <c r="C73" s="152"/>
      <c r="D73" s="153" t="s">
        <v>38</v>
      </c>
      <c r="E73" s="154">
        <f>SUM(E9:E72)</f>
        <v>0</v>
      </c>
      <c r="F73" s="154">
        <f>SUM(F9:F72)</f>
        <v>150</v>
      </c>
      <c r="G73" s="154">
        <f>SUM(G9:G72)</f>
        <v>0</v>
      </c>
      <c r="H73" s="155"/>
      <c r="I73" s="155"/>
      <c r="J73" s="155"/>
      <c r="K73" s="155"/>
      <c r="L73" s="156"/>
    </row>
    <row r="74" spans="1:12">
      <c r="F74" s="92"/>
      <c r="G74" s="92"/>
      <c r="H74" s="92"/>
      <c r="I74" s="92"/>
    </row>
    <row r="75" spans="1:12">
      <c r="F75" s="92"/>
      <c r="G75" s="92"/>
      <c r="H75" s="92"/>
      <c r="I75" s="92"/>
    </row>
    <row r="76" spans="1:12">
      <c r="F76" s="92"/>
      <c r="G76" s="92"/>
      <c r="H76" s="92"/>
      <c r="I76" s="92"/>
    </row>
    <row r="77" spans="1:12">
      <c r="F77" s="92"/>
      <c r="G77" s="92"/>
      <c r="H77" s="92"/>
      <c r="I77" s="92"/>
    </row>
    <row r="78" spans="1:12">
      <c r="F78" s="92"/>
      <c r="G78" s="92"/>
      <c r="H78" s="92"/>
      <c r="I78" s="92"/>
    </row>
    <row r="79" spans="1:12">
      <c r="F79" s="92"/>
      <c r="G79" s="92"/>
      <c r="H79" s="92"/>
      <c r="I79" s="92"/>
    </row>
    <row r="80" spans="1:12">
      <c r="F80" s="92"/>
      <c r="G80" s="92"/>
      <c r="H80" s="92"/>
      <c r="I80" s="92"/>
    </row>
    <row r="81" spans="6:9">
      <c r="F81" s="92"/>
      <c r="G81" s="92"/>
      <c r="H81" s="92"/>
      <c r="I81" s="92"/>
    </row>
    <row r="82" spans="6:9">
      <c r="F82" s="92"/>
      <c r="G82" s="92"/>
      <c r="H82" s="92"/>
      <c r="I82" s="92"/>
    </row>
    <row r="83" spans="6:9">
      <c r="F83" s="92"/>
      <c r="G83" s="92"/>
      <c r="H83" s="92"/>
      <c r="I83" s="92"/>
    </row>
  </sheetData>
  <sortState xmlns:xlrd2="http://schemas.microsoft.com/office/spreadsheetml/2017/richdata2" ref="A75:A134">
    <sortCondition ref="A75"/>
  </sortState>
  <mergeCells count="15"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  <mergeCell ref="A36:B36"/>
    <mergeCell ref="A46:B46"/>
    <mergeCell ref="A50:B50"/>
    <mergeCell ref="I7:I8"/>
    <mergeCell ref="E7:G7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"/>
  <sheetViews>
    <sheetView showGridLines="0" view="pageLayout" zoomScale="70" zoomScaleNormal="100" zoomScaleSheetLayoutView="100" zoomScalePageLayoutView="70" workbookViewId="0">
      <selection activeCell="O28" sqref="O28"/>
    </sheetView>
  </sheetViews>
  <sheetFormatPr defaultColWidth="4.28515625" defaultRowHeight="12.75"/>
  <cols>
    <col min="1" max="1" width="56.42578125" style="69" customWidth="1"/>
    <col min="2" max="2" width="21.28515625" style="69" customWidth="1"/>
    <col min="3" max="3" width="7.42578125" style="70" customWidth="1"/>
    <col min="4" max="4" width="51.85546875" style="70" customWidth="1"/>
    <col min="5" max="5" width="18" style="70" customWidth="1"/>
    <col min="6" max="6" width="24" style="70" customWidth="1"/>
    <col min="7" max="7" width="17" style="70" customWidth="1"/>
    <col min="8" max="16384" width="4.28515625" style="70"/>
  </cols>
  <sheetData>
    <row r="1" spans="1:7" ht="18.600000000000001" customHeight="1">
      <c r="A1" s="632" t="s">
        <v>356</v>
      </c>
      <c r="B1" s="633"/>
      <c r="C1" s="633"/>
      <c r="D1" s="633"/>
      <c r="E1" s="633"/>
      <c r="F1" s="633"/>
      <c r="G1" s="634"/>
    </row>
    <row r="2" spans="1:7" ht="18.600000000000001" customHeight="1">
      <c r="A2" s="71"/>
      <c r="G2" s="72"/>
    </row>
    <row r="3" spans="1:7" ht="18.600000000000001" customHeight="1">
      <c r="A3" s="73" t="s">
        <v>6</v>
      </c>
      <c r="B3" s="74" t="str">
        <f>Capa!D5</f>
        <v>HOSPITAL REGIONAL TEREZINHA GAIO BASSO</v>
      </c>
      <c r="C3" s="75"/>
      <c r="D3" s="75"/>
      <c r="E3" s="76"/>
      <c r="F3" s="77"/>
      <c r="G3" s="72"/>
    </row>
    <row r="4" spans="1:7" ht="18.600000000000001" customHeight="1">
      <c r="A4" s="73" t="s">
        <v>7</v>
      </c>
      <c r="B4" s="78">
        <f>Leitos!B4</f>
        <v>45870</v>
      </c>
      <c r="D4" s="69"/>
      <c r="E4" s="76"/>
      <c r="F4" s="76"/>
      <c r="G4" s="72"/>
    </row>
    <row r="5" spans="1:7" ht="18.600000000000001" customHeight="1">
      <c r="A5" s="71"/>
      <c r="D5" s="635" t="s">
        <v>357</v>
      </c>
      <c r="E5" s="635"/>
      <c r="F5" s="635"/>
      <c r="G5" s="79"/>
    </row>
    <row r="6" spans="1:7" ht="18.600000000000001" customHeight="1">
      <c r="A6" s="636" t="s">
        <v>358</v>
      </c>
      <c r="B6" s="637"/>
      <c r="D6" s="638" t="s">
        <v>359</v>
      </c>
      <c r="E6" s="639"/>
      <c r="F6" s="639"/>
      <c r="G6" s="640"/>
    </row>
    <row r="7" spans="1:7" ht="18.600000000000001" customHeight="1">
      <c r="A7" s="47"/>
      <c r="B7" s="49" t="s">
        <v>360</v>
      </c>
      <c r="D7" s="80" t="s">
        <v>361</v>
      </c>
      <c r="E7" s="51" t="s">
        <v>362</v>
      </c>
      <c r="F7" s="51" t="s">
        <v>363</v>
      </c>
      <c r="G7" s="52" t="s">
        <v>364</v>
      </c>
    </row>
    <row r="8" spans="1:7" ht="18.600000000000001" customHeight="1">
      <c r="A8" s="47" t="s">
        <v>365</v>
      </c>
      <c r="B8" s="53">
        <v>433.49</v>
      </c>
      <c r="D8" s="407" t="s">
        <v>498</v>
      </c>
      <c r="E8" s="408" t="s">
        <v>499</v>
      </c>
      <c r="F8" s="408" t="s">
        <v>500</v>
      </c>
      <c r="G8" s="409">
        <v>6.08</v>
      </c>
    </row>
    <row r="9" spans="1:7" ht="18.600000000000001" customHeight="1">
      <c r="A9" s="57" t="s">
        <v>366</v>
      </c>
      <c r="B9" s="58">
        <v>515304.79</v>
      </c>
      <c r="D9" s="407" t="s">
        <v>501</v>
      </c>
      <c r="E9" s="408" t="s">
        <v>56</v>
      </c>
      <c r="F9" s="408" t="s">
        <v>56</v>
      </c>
      <c r="G9" s="409" t="s">
        <v>56</v>
      </c>
    </row>
    <row r="10" spans="1:7" ht="15">
      <c r="A10" s="47"/>
      <c r="B10" s="37"/>
      <c r="D10" s="407" t="s">
        <v>502</v>
      </c>
      <c r="E10" s="408" t="s">
        <v>503</v>
      </c>
      <c r="F10" s="408" t="s">
        <v>504</v>
      </c>
      <c r="G10" s="409">
        <v>2559</v>
      </c>
    </row>
    <row r="11" spans="1:7" ht="30" customHeight="1">
      <c r="A11" s="641" t="s">
        <v>367</v>
      </c>
      <c r="B11" s="642"/>
      <c r="D11" s="407" t="s">
        <v>505</v>
      </c>
      <c r="E11" s="408" t="s">
        <v>506</v>
      </c>
      <c r="F11" s="408" t="s">
        <v>507</v>
      </c>
      <c r="G11" s="409">
        <v>11.25</v>
      </c>
    </row>
    <row r="12" spans="1:7" ht="15.95" customHeight="1">
      <c r="A12" s="47"/>
      <c r="B12" s="49" t="s">
        <v>368</v>
      </c>
      <c r="D12" s="407" t="s">
        <v>508</v>
      </c>
      <c r="E12" s="408" t="s">
        <v>509</v>
      </c>
      <c r="F12" s="408" t="s">
        <v>510</v>
      </c>
      <c r="G12" s="409">
        <v>3.79</v>
      </c>
    </row>
    <row r="13" spans="1:7" ht="18.600000000000001" customHeight="1">
      <c r="A13" s="47" t="s">
        <v>369</v>
      </c>
      <c r="B13" s="60">
        <v>1</v>
      </c>
      <c r="D13" s="407" t="s">
        <v>511</v>
      </c>
      <c r="E13" s="408" t="s">
        <v>512</v>
      </c>
      <c r="F13" s="408" t="s">
        <v>513</v>
      </c>
      <c r="G13" s="409">
        <v>5.89</v>
      </c>
    </row>
    <row r="14" spans="1:7" ht="18.600000000000001" customHeight="1">
      <c r="A14" s="57" t="s">
        <v>370</v>
      </c>
      <c r="B14" s="61">
        <v>261</v>
      </c>
      <c r="D14" s="407" t="s">
        <v>514</v>
      </c>
      <c r="E14" s="408" t="s">
        <v>515</v>
      </c>
      <c r="F14" s="408" t="s">
        <v>516</v>
      </c>
      <c r="G14" s="409">
        <v>149</v>
      </c>
    </row>
    <row r="15" spans="1:7" ht="18.600000000000001" customHeight="1">
      <c r="A15" s="36"/>
      <c r="B15" s="62"/>
      <c r="D15" s="407" t="s">
        <v>517</v>
      </c>
      <c r="E15" s="408" t="s">
        <v>518</v>
      </c>
      <c r="F15" s="408" t="s">
        <v>507</v>
      </c>
      <c r="G15" s="409">
        <v>70.2</v>
      </c>
    </row>
    <row r="16" spans="1:7" ht="18.600000000000001" customHeight="1">
      <c r="A16" s="626" t="s">
        <v>371</v>
      </c>
      <c r="B16" s="627"/>
      <c r="D16" s="407" t="s">
        <v>519</v>
      </c>
      <c r="E16" s="408" t="s">
        <v>520</v>
      </c>
      <c r="F16" s="408" t="s">
        <v>507</v>
      </c>
      <c r="G16" s="409">
        <v>64.17</v>
      </c>
    </row>
    <row r="17" spans="1:7" ht="18.600000000000001" customHeight="1">
      <c r="A17" s="628" t="s">
        <v>372</v>
      </c>
      <c r="B17" s="629"/>
      <c r="D17" s="407" t="s">
        <v>521</v>
      </c>
      <c r="E17" s="408" t="s">
        <v>522</v>
      </c>
      <c r="F17" s="408" t="s">
        <v>523</v>
      </c>
      <c r="G17" s="409">
        <v>11.14</v>
      </c>
    </row>
    <row r="18" spans="1:7" ht="18.600000000000001" customHeight="1">
      <c r="A18" s="47"/>
      <c r="B18" s="49" t="s">
        <v>373</v>
      </c>
      <c r="D18" s="407" t="s">
        <v>524</v>
      </c>
      <c r="E18" s="408" t="s">
        <v>525</v>
      </c>
      <c r="F18" s="408" t="s">
        <v>500</v>
      </c>
      <c r="G18" s="409">
        <v>40</v>
      </c>
    </row>
    <row r="19" spans="1:7" ht="18.600000000000001" customHeight="1">
      <c r="A19" s="47" t="s">
        <v>374</v>
      </c>
      <c r="B19" s="60">
        <v>668</v>
      </c>
      <c r="D19" s="407" t="s">
        <v>526</v>
      </c>
      <c r="E19" s="408" t="s">
        <v>527</v>
      </c>
      <c r="F19" s="408" t="s">
        <v>528</v>
      </c>
      <c r="G19" s="409">
        <v>91.25</v>
      </c>
    </row>
    <row r="20" spans="1:7" ht="15">
      <c r="A20" s="57" t="s">
        <v>375</v>
      </c>
      <c r="B20" s="61">
        <v>358868</v>
      </c>
      <c r="D20" s="407" t="s">
        <v>529</v>
      </c>
      <c r="E20" s="408" t="s">
        <v>506</v>
      </c>
      <c r="F20" s="408" t="s">
        <v>500</v>
      </c>
      <c r="G20" s="409">
        <v>107.5</v>
      </c>
    </row>
    <row r="21" spans="1:7" ht="18.600000000000001" customHeight="1">
      <c r="A21" s="36"/>
      <c r="B21" s="62"/>
      <c r="D21" s="407" t="s">
        <v>530</v>
      </c>
      <c r="E21" s="408" t="s">
        <v>506</v>
      </c>
      <c r="F21" s="408" t="s">
        <v>531</v>
      </c>
      <c r="G21" s="409">
        <v>13.98</v>
      </c>
    </row>
    <row r="22" spans="1:7" ht="18.600000000000001" customHeight="1">
      <c r="A22" s="36"/>
      <c r="B22" s="37"/>
      <c r="D22" s="407" t="s">
        <v>532</v>
      </c>
      <c r="E22" s="408" t="s">
        <v>506</v>
      </c>
      <c r="F22" s="408" t="s">
        <v>531</v>
      </c>
      <c r="G22" s="409">
        <v>11.4</v>
      </c>
    </row>
    <row r="23" spans="1:7" ht="18.600000000000001" customHeight="1">
      <c r="A23" s="47"/>
      <c r="B23" s="37"/>
      <c r="D23" s="407" t="s">
        <v>533</v>
      </c>
      <c r="E23" s="408" t="s">
        <v>534</v>
      </c>
      <c r="F23" s="408" t="s">
        <v>535</v>
      </c>
      <c r="G23" s="409">
        <v>63.8</v>
      </c>
    </row>
    <row r="24" spans="1:7" ht="28.5" customHeight="1">
      <c r="A24" s="630"/>
      <c r="B24" s="630"/>
      <c r="D24" s="407" t="s">
        <v>536</v>
      </c>
      <c r="E24" s="408" t="s">
        <v>537</v>
      </c>
      <c r="F24" s="408" t="s">
        <v>538</v>
      </c>
      <c r="G24" s="409">
        <v>7.19</v>
      </c>
    </row>
    <row r="25" spans="1:7" ht="18.600000000000001" customHeight="1">
      <c r="A25" s="36"/>
      <c r="B25" s="37"/>
      <c r="D25" s="407" t="s">
        <v>539</v>
      </c>
      <c r="E25" s="408" t="s">
        <v>506</v>
      </c>
      <c r="F25" s="408" t="s">
        <v>523</v>
      </c>
      <c r="G25" s="409">
        <v>13.99</v>
      </c>
    </row>
    <row r="26" spans="1:7" ht="18.600000000000001" customHeight="1">
      <c r="A26" s="36"/>
      <c r="B26" s="62"/>
      <c r="D26" s="407" t="s">
        <v>540</v>
      </c>
      <c r="E26" s="408" t="s">
        <v>541</v>
      </c>
      <c r="F26" s="408" t="s">
        <v>538</v>
      </c>
      <c r="G26" s="409">
        <v>9.1</v>
      </c>
    </row>
    <row r="27" spans="1:7" ht="27.75" customHeight="1">
      <c r="A27" s="36"/>
      <c r="B27" s="62"/>
      <c r="D27" s="407" t="s">
        <v>542</v>
      </c>
      <c r="E27" s="408" t="s">
        <v>506</v>
      </c>
      <c r="F27" s="408" t="s">
        <v>500</v>
      </c>
      <c r="G27" s="409">
        <v>7.36</v>
      </c>
    </row>
    <row r="28" spans="1:7" ht="18.600000000000001" customHeight="1">
      <c r="A28" s="36"/>
      <c r="B28" s="37"/>
      <c r="D28" s="407" t="s">
        <v>543</v>
      </c>
      <c r="E28" s="408" t="s">
        <v>506</v>
      </c>
      <c r="F28" s="408" t="s">
        <v>507</v>
      </c>
      <c r="G28" s="409">
        <v>2.59</v>
      </c>
    </row>
    <row r="29" spans="1:7" ht="18.600000000000001" customHeight="1">
      <c r="A29" s="36"/>
      <c r="B29" s="37"/>
      <c r="D29" s="407" t="s">
        <v>544</v>
      </c>
      <c r="E29" s="408" t="s">
        <v>506</v>
      </c>
      <c r="F29" s="408" t="s">
        <v>545</v>
      </c>
      <c r="G29" s="409">
        <v>3.74</v>
      </c>
    </row>
    <row r="30" spans="1:7" ht="16.5" customHeight="1">
      <c r="A30" s="631"/>
      <c r="B30" s="631"/>
      <c r="D30" s="82"/>
      <c r="E30" s="83"/>
      <c r="F30" s="83"/>
      <c r="G30" s="84"/>
    </row>
    <row r="31" spans="1:7" ht="17.100000000000001" customHeight="1">
      <c r="A31" s="36"/>
      <c r="B31" s="37"/>
      <c r="D31" s="81"/>
      <c r="E31" s="83"/>
      <c r="F31" s="83"/>
      <c r="G31" s="84"/>
    </row>
    <row r="32" spans="1:7" ht="17.100000000000001" customHeight="1">
      <c r="A32" s="36"/>
      <c r="B32" s="62"/>
      <c r="D32" s="81"/>
      <c r="E32" s="83"/>
      <c r="F32" s="83"/>
      <c r="G32" s="84"/>
    </row>
    <row r="33" spans="1:7" ht="17.100000000000001" customHeight="1">
      <c r="A33" s="36"/>
      <c r="B33" s="62"/>
      <c r="D33" s="82"/>
      <c r="E33" s="83"/>
      <c r="F33" s="83"/>
      <c r="G33" s="84"/>
    </row>
    <row r="34" spans="1:7" ht="17.100000000000001" customHeight="1">
      <c r="A34" s="36"/>
      <c r="B34" s="37"/>
      <c r="D34" s="81"/>
      <c r="E34" s="83"/>
      <c r="F34" s="83"/>
      <c r="G34" s="84"/>
    </row>
    <row r="35" spans="1:7" ht="17.100000000000001" customHeight="1">
      <c r="A35" s="36"/>
      <c r="B35" s="37"/>
      <c r="D35" s="81"/>
      <c r="E35" s="83"/>
      <c r="F35" s="83"/>
      <c r="G35" s="84"/>
    </row>
    <row r="36" spans="1:7" ht="17.100000000000001" customHeight="1">
      <c r="A36" s="631"/>
      <c r="B36" s="631"/>
      <c r="D36" s="81"/>
      <c r="E36" s="83"/>
      <c r="F36" s="83"/>
      <c r="G36" s="84"/>
    </row>
    <row r="37" spans="1:7" ht="15">
      <c r="A37" s="36"/>
      <c r="B37" s="37"/>
      <c r="D37" s="82"/>
      <c r="E37" s="83"/>
      <c r="F37" s="83"/>
      <c r="G37" s="84"/>
    </row>
    <row r="38" spans="1:7" ht="15">
      <c r="A38" s="36"/>
      <c r="B38" s="62"/>
      <c r="D38" s="81"/>
      <c r="E38" s="83"/>
      <c r="F38" s="83"/>
      <c r="G38" s="84"/>
    </row>
    <row r="39" spans="1:7" ht="15">
      <c r="A39" s="85"/>
      <c r="B39" s="85"/>
      <c r="C39" s="86"/>
      <c r="D39" s="81"/>
      <c r="E39" s="87"/>
      <c r="F39" s="87"/>
      <c r="G39" s="88"/>
    </row>
    <row r="40" spans="1:7" ht="15">
      <c r="D40" s="81"/>
      <c r="E40" s="83"/>
      <c r="F40" s="83"/>
      <c r="G40" s="84"/>
    </row>
    <row r="41" spans="1:7" ht="15">
      <c r="D41" s="82"/>
      <c r="E41" s="83"/>
      <c r="F41" s="83"/>
      <c r="G41" s="84"/>
    </row>
    <row r="42" spans="1:7" ht="15">
      <c r="D42" s="82"/>
      <c r="E42" s="83"/>
      <c r="F42" s="83"/>
      <c r="G42" s="84"/>
    </row>
    <row r="43" spans="1:7" ht="15">
      <c r="D43" s="89"/>
      <c r="E43" s="90"/>
      <c r="F43" s="90"/>
      <c r="G43" s="91"/>
    </row>
  </sheetData>
  <sheetProtection selectLockedCells="1"/>
  <mergeCells count="10">
    <mergeCell ref="A1:G1"/>
    <mergeCell ref="D5:F5"/>
    <mergeCell ref="A6:B6"/>
    <mergeCell ref="D6:G6"/>
    <mergeCell ref="A11:B11"/>
    <mergeCell ref="A16:B16"/>
    <mergeCell ref="A17:B17"/>
    <mergeCell ref="A24:B24"/>
    <mergeCell ref="A30:B30"/>
    <mergeCell ref="A36:B36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80" zoomScaleNormal="90" zoomScalePageLayoutView="70" workbookViewId="0">
      <selection activeCell="O28" sqref="O28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43" t="s">
        <v>376</v>
      </c>
      <c r="B1" s="644"/>
      <c r="C1" s="644"/>
      <c r="D1" s="644"/>
      <c r="E1" s="644"/>
      <c r="F1" s="645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46" t="str">
        <f>Assistencial!B3</f>
        <v>HOSPITAL REGIONAL TEREZINHA GAIO BASSO</v>
      </c>
      <c r="C3" s="646"/>
      <c r="D3" s="646"/>
      <c r="E3" s="43"/>
      <c r="F3" s="41"/>
    </row>
    <row r="4" spans="1:6" ht="22.5" customHeight="1">
      <c r="A4" s="42" t="s">
        <v>7</v>
      </c>
      <c r="B4" s="44">
        <f>Leitos!B4</f>
        <v>45870</v>
      </c>
      <c r="C4" s="45"/>
      <c r="D4" s="46"/>
      <c r="E4" s="46"/>
      <c r="F4" s="41"/>
    </row>
    <row r="5" spans="1:6" ht="22.5" customHeight="1">
      <c r="A5" s="47"/>
      <c r="D5" s="48" t="s">
        <v>377</v>
      </c>
      <c r="F5" s="41"/>
    </row>
    <row r="6" spans="1:6" ht="22.5" customHeight="1">
      <c r="A6" s="636" t="s">
        <v>378</v>
      </c>
      <c r="B6" s="637"/>
      <c r="D6" s="638" t="s">
        <v>379</v>
      </c>
      <c r="E6" s="639"/>
      <c r="F6" s="640"/>
    </row>
    <row r="7" spans="1:6" ht="22.5" customHeight="1">
      <c r="A7" s="47"/>
      <c r="B7" s="49" t="s">
        <v>360</v>
      </c>
      <c r="D7" s="50" t="s">
        <v>380</v>
      </c>
      <c r="E7" s="51" t="s">
        <v>381</v>
      </c>
      <c r="F7" s="52" t="s">
        <v>364</v>
      </c>
    </row>
    <row r="8" spans="1:6" ht="22.5" customHeight="1">
      <c r="A8" s="47" t="s">
        <v>382</v>
      </c>
      <c r="B8" s="53">
        <v>513.51</v>
      </c>
      <c r="D8" s="407" t="s">
        <v>546</v>
      </c>
      <c r="E8" s="410" t="s">
        <v>547</v>
      </c>
      <c r="F8" s="411">
        <v>18.100000000000001</v>
      </c>
    </row>
    <row r="9" spans="1:6" ht="22.5" customHeight="1">
      <c r="A9" s="57" t="s">
        <v>383</v>
      </c>
      <c r="B9" s="58">
        <v>216515.92</v>
      </c>
      <c r="D9" s="407" t="s">
        <v>548</v>
      </c>
      <c r="E9" s="410" t="s">
        <v>56</v>
      </c>
      <c r="F9" s="411" t="s">
        <v>56</v>
      </c>
    </row>
    <row r="10" spans="1:6" ht="22.5" customHeight="1">
      <c r="A10" s="47"/>
      <c r="D10" s="407" t="s">
        <v>549</v>
      </c>
      <c r="E10" s="410" t="s">
        <v>550</v>
      </c>
      <c r="F10" s="411">
        <v>149</v>
      </c>
    </row>
    <row r="11" spans="1:6" ht="36" customHeight="1">
      <c r="A11" s="626" t="s">
        <v>384</v>
      </c>
      <c r="B11" s="627"/>
      <c r="D11" s="407" t="s">
        <v>551</v>
      </c>
      <c r="E11" s="410" t="s">
        <v>552</v>
      </c>
      <c r="F11" s="411">
        <v>158.78</v>
      </c>
    </row>
    <row r="12" spans="1:6" ht="22.5" customHeight="1">
      <c r="A12" s="628" t="s">
        <v>385</v>
      </c>
      <c r="B12" s="629"/>
      <c r="D12" s="407" t="s">
        <v>553</v>
      </c>
      <c r="E12" s="410" t="s">
        <v>554</v>
      </c>
      <c r="F12" s="411">
        <v>22</v>
      </c>
    </row>
    <row r="13" spans="1:6" ht="22.5" customHeight="1">
      <c r="A13" s="47"/>
      <c r="B13" s="49" t="s">
        <v>386</v>
      </c>
      <c r="D13" s="407" t="s">
        <v>555</v>
      </c>
      <c r="E13" s="410" t="s">
        <v>554</v>
      </c>
      <c r="F13" s="411">
        <v>21</v>
      </c>
    </row>
    <row r="14" spans="1:6" ht="22.5" customHeight="1">
      <c r="A14" s="47" t="s">
        <v>387</v>
      </c>
      <c r="B14" s="60">
        <v>14</v>
      </c>
      <c r="D14" s="407" t="s">
        <v>556</v>
      </c>
      <c r="E14" s="410" t="s">
        <v>557</v>
      </c>
      <c r="F14" s="411">
        <v>40.729999999999997</v>
      </c>
    </row>
    <row r="15" spans="1:6" ht="22.5" customHeight="1">
      <c r="A15" s="57" t="s">
        <v>388</v>
      </c>
      <c r="B15" s="61">
        <v>162852</v>
      </c>
      <c r="D15" s="407" t="s">
        <v>558</v>
      </c>
      <c r="E15" s="410" t="s">
        <v>550</v>
      </c>
      <c r="F15" s="411">
        <v>1.99</v>
      </c>
    </row>
    <row r="16" spans="1:6" ht="32.25" customHeight="1">
      <c r="A16" s="47"/>
      <c r="D16" s="59"/>
      <c r="E16" s="55"/>
      <c r="F16" s="56"/>
    </row>
    <row r="17" spans="1:6" ht="22.5" customHeight="1">
      <c r="A17" s="626" t="s">
        <v>389</v>
      </c>
      <c r="B17" s="627"/>
      <c r="D17" s="59"/>
      <c r="E17" s="55"/>
      <c r="F17" s="56"/>
    </row>
    <row r="18" spans="1:6" ht="22.5" customHeight="1">
      <c r="A18" s="628" t="s">
        <v>385</v>
      </c>
      <c r="B18" s="629"/>
      <c r="D18" s="54"/>
      <c r="E18" s="55"/>
      <c r="F18" s="56"/>
    </row>
    <row r="19" spans="1:6" ht="22.5" customHeight="1">
      <c r="A19" s="47"/>
      <c r="B19" s="49" t="s">
        <v>390</v>
      </c>
      <c r="D19" s="54"/>
      <c r="E19" s="55"/>
      <c r="F19" s="56"/>
    </row>
    <row r="20" spans="1:6" ht="22.5" customHeight="1">
      <c r="A20" s="47" t="s">
        <v>391</v>
      </c>
      <c r="B20" s="60">
        <v>1</v>
      </c>
      <c r="D20" s="54"/>
      <c r="E20" s="55"/>
      <c r="F20" s="56"/>
    </row>
    <row r="21" spans="1:6" ht="22.5" customHeight="1">
      <c r="A21" s="57" t="s">
        <v>392</v>
      </c>
      <c r="B21" s="61">
        <v>221</v>
      </c>
      <c r="D21" s="59"/>
      <c r="E21" s="55"/>
      <c r="F21" s="56"/>
    </row>
    <row r="22" spans="1:6" ht="22.5" customHeight="1">
      <c r="D22" s="54"/>
      <c r="E22" s="55"/>
      <c r="F22" s="56"/>
    </row>
    <row r="23" spans="1:6" ht="22.5" customHeight="1">
      <c r="B23" s="62"/>
      <c r="D23" s="54"/>
      <c r="E23" s="55"/>
      <c r="F23" s="56"/>
    </row>
    <row r="24" spans="1:6" ht="22.5" customHeight="1">
      <c r="D24" s="59"/>
      <c r="E24" s="55"/>
      <c r="F24" s="56"/>
    </row>
    <row r="25" spans="1:6" ht="22.5" customHeight="1">
      <c r="A25" s="63"/>
      <c r="B25" s="40"/>
      <c r="D25" s="54"/>
      <c r="E25" s="55"/>
      <c r="F25" s="56"/>
    </row>
    <row r="26" spans="1:6" ht="22.5" customHeight="1">
      <c r="A26" s="47"/>
      <c r="D26" s="54"/>
      <c r="E26" s="55"/>
      <c r="F26" s="56"/>
    </row>
    <row r="27" spans="1:6" ht="22.5" customHeight="1">
      <c r="A27" s="47"/>
      <c r="D27" s="54"/>
      <c r="E27" s="55"/>
      <c r="F27" s="56"/>
    </row>
    <row r="28" spans="1:6" ht="22.5" customHeight="1">
      <c r="A28" s="47"/>
      <c r="D28" s="59"/>
      <c r="E28" s="55"/>
      <c r="F28" s="56"/>
    </row>
    <row r="29" spans="1:6" ht="22.5" customHeight="1">
      <c r="D29" s="54"/>
      <c r="E29" s="64"/>
      <c r="F29" s="65"/>
    </row>
    <row r="30" spans="1:6" ht="22.5" customHeight="1">
      <c r="D30" s="59"/>
      <c r="E30" s="64"/>
      <c r="F30" s="65"/>
    </row>
    <row r="31" spans="1:6" ht="22.5" customHeight="1">
      <c r="D31" s="54"/>
      <c r="E31" s="64"/>
      <c r="F31" s="65"/>
    </row>
    <row r="32" spans="1:6" ht="22.5" customHeight="1">
      <c r="D32" s="54"/>
      <c r="E32" s="64"/>
      <c r="F32" s="65"/>
    </row>
    <row r="33" spans="4:6" ht="22.5" customHeight="1">
      <c r="D33" s="59"/>
      <c r="E33" s="64"/>
      <c r="F33" s="65"/>
    </row>
    <row r="34" spans="4:6" ht="22.5" customHeight="1">
      <c r="D34" s="59"/>
      <c r="E34" s="64"/>
      <c r="F34" s="65"/>
    </row>
    <row r="35" spans="4:6" ht="22.5" customHeight="1">
      <c r="D35" s="54"/>
      <c r="E35" s="64"/>
      <c r="F35" s="65"/>
    </row>
    <row r="36" spans="4:6" ht="22.5" customHeight="1">
      <c r="D36" s="59"/>
      <c r="E36" s="64"/>
      <c r="F36" s="65"/>
    </row>
    <row r="37" spans="4:6" ht="22.5" customHeight="1">
      <c r="D37" s="59"/>
      <c r="E37" s="64"/>
      <c r="F37" s="65"/>
    </row>
    <row r="38" spans="4:6" ht="22.5" customHeight="1">
      <c r="D38" s="59"/>
      <c r="E38" s="64"/>
      <c r="F38" s="65"/>
    </row>
    <row r="39" spans="4:6" ht="22.5" customHeight="1">
      <c r="D39" s="54"/>
      <c r="E39" s="64"/>
      <c r="F39" s="65"/>
    </row>
    <row r="40" spans="4:6" ht="22.5" customHeight="1">
      <c r="D40" s="59"/>
      <c r="E40" s="64"/>
      <c r="F40" s="65"/>
    </row>
    <row r="41" spans="4:6" ht="22.5" customHeight="1">
      <c r="D41" s="59"/>
      <c r="E41" s="64"/>
      <c r="F41" s="65"/>
    </row>
    <row r="42" spans="4:6" ht="22.5" customHeight="1">
      <c r="D42" s="54"/>
      <c r="E42" s="64"/>
      <c r="F42" s="65"/>
    </row>
    <row r="43" spans="4:6" ht="22.5" customHeight="1">
      <c r="D43" s="54"/>
      <c r="E43" s="64"/>
      <c r="F43" s="65"/>
    </row>
    <row r="44" spans="4:6" ht="22.5" customHeight="1">
      <c r="D44" s="54"/>
      <c r="E44" s="64"/>
      <c r="F44" s="65"/>
    </row>
    <row r="45" spans="4:6" ht="22.5" customHeight="1">
      <c r="D45" s="66"/>
      <c r="E45" s="67"/>
      <c r="F45" s="68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129"/>
  <sheetViews>
    <sheetView showGridLines="0" view="pageBreakPreview" zoomScaleNormal="100" zoomScaleSheetLayoutView="100" zoomScalePageLayoutView="80" workbookViewId="0">
      <selection sqref="A1:B129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47" t="s">
        <v>393</v>
      </c>
      <c r="B1" s="648"/>
    </row>
    <row r="2" spans="1:2" ht="21.75" customHeight="1">
      <c r="A2" s="2"/>
      <c r="B2"/>
    </row>
    <row r="3" spans="1:2" ht="21.75" customHeight="1">
      <c r="A3" s="649" t="s">
        <v>394</v>
      </c>
      <c r="B3" s="649"/>
    </row>
    <row r="4" spans="1:2" ht="21.75" customHeight="1">
      <c r="A4" s="650" t="str">
        <f>Assistencial!B3</f>
        <v>HOSPITAL REGIONAL TEREZINHA GAIO BASSO</v>
      </c>
      <c r="B4" s="651"/>
    </row>
    <row r="5" spans="1:2" ht="21.75" customHeight="1">
      <c r="A5"/>
      <c r="B5"/>
    </row>
    <row r="6" spans="1:2" ht="21.75" customHeight="1">
      <c r="A6" s="652" t="s">
        <v>7</v>
      </c>
      <c r="B6" s="652"/>
    </row>
    <row r="7" spans="1:2" ht="21.75" customHeight="1">
      <c r="A7" s="653">
        <f>Leitos!B4</f>
        <v>45870</v>
      </c>
      <c r="B7" s="653"/>
    </row>
    <row r="8" spans="1:2" ht="21.75" customHeight="1">
      <c r="B8" s="3"/>
    </row>
    <row r="9" spans="1:2" ht="21.75" customHeight="1">
      <c r="A9" s="4" t="s">
        <v>395</v>
      </c>
      <c r="B9" s="5">
        <f>A7</f>
        <v>45870</v>
      </c>
    </row>
    <row r="10" spans="1:2" ht="21.75" customHeight="1">
      <c r="A10" s="6" t="s">
        <v>396</v>
      </c>
      <c r="B10" s="7" t="s">
        <v>397</v>
      </c>
    </row>
    <row r="11" spans="1:2" ht="21.75" customHeight="1">
      <c r="A11" s="8" t="s">
        <v>398</v>
      </c>
      <c r="B11" s="9">
        <v>5561423.96</v>
      </c>
    </row>
    <row r="12" spans="1:2" ht="21.75" customHeight="1">
      <c r="A12" s="8" t="s">
        <v>399</v>
      </c>
      <c r="B12" s="9">
        <v>0</v>
      </c>
    </row>
    <row r="13" spans="1:2" ht="21.75" customHeight="1">
      <c r="A13" s="8" t="s">
        <v>400</v>
      </c>
      <c r="B13" s="9">
        <v>0</v>
      </c>
    </row>
    <row r="14" spans="1:2" ht="21.75" customHeight="1">
      <c r="A14" s="8" t="s">
        <v>401</v>
      </c>
      <c r="B14" s="9">
        <v>0</v>
      </c>
    </row>
    <row r="15" spans="1:2" ht="21.75" customHeight="1">
      <c r="A15" s="8" t="s">
        <v>402</v>
      </c>
      <c r="B15" s="9">
        <v>0</v>
      </c>
    </row>
    <row r="16" spans="1:2" ht="21.75" customHeight="1">
      <c r="A16" s="10" t="s">
        <v>403</v>
      </c>
      <c r="B16" s="11">
        <f>B11+B12+B13-B14-B15</f>
        <v>5561423.96</v>
      </c>
    </row>
    <row r="17" spans="1:2" ht="21.75" customHeight="1">
      <c r="A17" s="12" t="s">
        <v>404</v>
      </c>
      <c r="B17" s="9">
        <v>193306.99</v>
      </c>
    </row>
    <row r="18" spans="1:2" ht="21.75" customHeight="1">
      <c r="A18" s="12" t="s">
        <v>405</v>
      </c>
      <c r="B18" s="9">
        <v>0</v>
      </c>
    </row>
    <row r="19" spans="1:2" ht="21.75" customHeight="1">
      <c r="A19" s="12" t="s">
        <v>406</v>
      </c>
      <c r="B19" s="9">
        <v>0</v>
      </c>
    </row>
    <row r="20" spans="1:2" ht="21.75" customHeight="1">
      <c r="A20" s="12" t="s">
        <v>407</v>
      </c>
      <c r="B20" s="9">
        <f>-2363.64+103786.23+100814.36+114193.4</f>
        <v>316430.34999999998</v>
      </c>
    </row>
    <row r="21" spans="1:2" ht="21.75" customHeight="1">
      <c r="A21" s="12" t="s">
        <v>408</v>
      </c>
      <c r="B21" s="9">
        <v>0</v>
      </c>
    </row>
    <row r="22" spans="1:2" ht="21.75" customHeight="1">
      <c r="A22" s="12" t="s">
        <v>409</v>
      </c>
      <c r="B22" s="9">
        <v>0</v>
      </c>
    </row>
    <row r="23" spans="1:2" ht="21.75" customHeight="1">
      <c r="A23" s="10" t="s">
        <v>410</v>
      </c>
      <c r="B23" s="11">
        <f>SUM(B17:B22)</f>
        <v>509737.33999999997</v>
      </c>
    </row>
    <row r="24" spans="1:2" ht="21.75" customHeight="1">
      <c r="A24" s="13" t="s">
        <v>411</v>
      </c>
      <c r="B24" s="14">
        <f>B23+B16</f>
        <v>6071161.2999999998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45870</v>
      </c>
    </row>
    <row r="27" spans="1:2" ht="21.75" customHeight="1">
      <c r="A27" s="6" t="s">
        <v>412</v>
      </c>
      <c r="B27" s="7" t="s">
        <v>397</v>
      </c>
    </row>
    <row r="28" spans="1:2" ht="21.75" customHeight="1">
      <c r="A28" s="10" t="s">
        <v>413</v>
      </c>
      <c r="B28" s="11">
        <f>SUM(B30:B39)</f>
        <v>2282757.69</v>
      </c>
    </row>
    <row r="29" spans="1:2" ht="21.75" customHeight="1">
      <c r="A29" s="10" t="s">
        <v>414</v>
      </c>
      <c r="B29" s="11">
        <f>SUM(B30:B31)</f>
        <v>1755140.51</v>
      </c>
    </row>
    <row r="30" spans="1:2" ht="21.75" customHeight="1">
      <c r="A30" s="12"/>
      <c r="B30" s="9">
        <f>1949618.02-207258.35+12780.84</f>
        <v>1755140.51</v>
      </c>
    </row>
    <row r="31" spans="1:2" ht="21.75" customHeight="1">
      <c r="A31" s="12" t="s">
        <v>415</v>
      </c>
      <c r="B31" s="9">
        <v>0</v>
      </c>
    </row>
    <row r="32" spans="1:2" ht="21.75" customHeight="1">
      <c r="A32" s="12" t="s">
        <v>416</v>
      </c>
      <c r="B32" s="9">
        <v>0</v>
      </c>
    </row>
    <row r="33" spans="1:2" ht="21.75" customHeight="1">
      <c r="A33" s="12" t="s">
        <v>417</v>
      </c>
      <c r="B33" s="9">
        <f>198597.26-19492.74</f>
        <v>179104.52000000002</v>
      </c>
    </row>
    <row r="34" spans="1:2" ht="21.75" customHeight="1">
      <c r="A34" s="12" t="s">
        <v>418</v>
      </c>
      <c r="B34" s="9">
        <v>0</v>
      </c>
    </row>
    <row r="35" spans="1:2" ht="21.75" customHeight="1">
      <c r="A35" s="12" t="s">
        <v>419</v>
      </c>
      <c r="B35" s="17">
        <v>0</v>
      </c>
    </row>
    <row r="36" spans="1:2" ht="21.75" customHeight="1">
      <c r="A36" s="12" t="s">
        <v>420</v>
      </c>
      <c r="B36" s="17">
        <f>233229.06-8779.86</f>
        <v>224449.2</v>
      </c>
    </row>
    <row r="37" spans="1:2" ht="21.75" customHeight="1">
      <c r="A37" s="12" t="s">
        <v>421</v>
      </c>
      <c r="B37" s="9">
        <f>149514.14-27800.5</f>
        <v>121713.64000000001</v>
      </c>
    </row>
    <row r="38" spans="1:2" ht="21.75" customHeight="1">
      <c r="A38" s="12" t="s">
        <v>422</v>
      </c>
      <c r="B38" s="9">
        <f>11192.04-8842.22</f>
        <v>2349.8200000000015</v>
      </c>
    </row>
    <row r="39" spans="1:2" ht="21.75" customHeight="1">
      <c r="A39" s="12" t="s">
        <v>423</v>
      </c>
      <c r="B39" s="17">
        <v>0</v>
      </c>
    </row>
    <row r="40" spans="1:2" ht="21.75" customHeight="1">
      <c r="A40" s="10" t="s">
        <v>424</v>
      </c>
      <c r="B40" s="11">
        <f>SUM(B41:B45)</f>
        <v>911594.90000000014</v>
      </c>
    </row>
    <row r="41" spans="1:2" ht="21.75" customHeight="1">
      <c r="A41" s="12" t="s">
        <v>425</v>
      </c>
      <c r="B41" s="9">
        <f>220241.5-460.85+24140.6+56987.16-0.02+847.14</f>
        <v>301755.53000000003</v>
      </c>
    </row>
    <row r="42" spans="1:2" ht="21.75" customHeight="1">
      <c r="A42" s="12" t="s">
        <v>426</v>
      </c>
      <c r="B42" s="9">
        <f>345154.93-83.2+189157.14-B43</f>
        <v>496851.31</v>
      </c>
    </row>
    <row r="43" spans="1:2" ht="21.75" customHeight="1">
      <c r="A43" s="12" t="s">
        <v>427</v>
      </c>
      <c r="B43" s="9">
        <v>37377.56</v>
      </c>
    </row>
    <row r="44" spans="1:2" ht="21.75" customHeight="1">
      <c r="A44" s="12" t="s">
        <v>428</v>
      </c>
      <c r="B44" s="9">
        <v>16919.84</v>
      </c>
    </row>
    <row r="45" spans="1:2" ht="21.75" customHeight="1">
      <c r="A45" s="12" t="s">
        <v>429</v>
      </c>
      <c r="B45" s="9">
        <v>58690.66</v>
      </c>
    </row>
    <row r="46" spans="1:2" ht="21.75" customHeight="1">
      <c r="A46" s="10" t="s">
        <v>430</v>
      </c>
      <c r="B46" s="11">
        <f>SUM(B47:B54)</f>
        <v>392487.18000000005</v>
      </c>
    </row>
    <row r="47" spans="1:2" ht="21.75" customHeight="1">
      <c r="A47" s="12" t="s">
        <v>431</v>
      </c>
      <c r="B47" s="9">
        <f>43198.36+12517.98-0.01</f>
        <v>55716.329999999994</v>
      </c>
    </row>
    <row r="48" spans="1:2" ht="21.75" customHeight="1">
      <c r="A48" s="12" t="s">
        <v>432</v>
      </c>
      <c r="B48" s="9">
        <f>102402.6-0.11</f>
        <v>102402.49</v>
      </c>
    </row>
    <row r="49" spans="1:2" ht="21.75" customHeight="1">
      <c r="A49" s="12" t="s">
        <v>433</v>
      </c>
      <c r="B49" s="9">
        <v>23798.44</v>
      </c>
    </row>
    <row r="50" spans="1:2" ht="21.75" customHeight="1">
      <c r="A50" s="12" t="s">
        <v>434</v>
      </c>
      <c r="B50" s="9">
        <v>64985.38</v>
      </c>
    </row>
    <row r="51" spans="1:2" ht="21.75" customHeight="1">
      <c r="A51" s="12" t="s">
        <v>435</v>
      </c>
      <c r="B51" s="9">
        <v>9399.3799999999992</v>
      </c>
    </row>
    <row r="52" spans="1:2" ht="21.75" customHeight="1">
      <c r="A52" s="12" t="s">
        <v>436</v>
      </c>
      <c r="B52" s="9">
        <v>59181.7</v>
      </c>
    </row>
    <row r="53" spans="1:2" ht="21.75" customHeight="1">
      <c r="A53" s="12" t="s">
        <v>437</v>
      </c>
      <c r="B53" s="9">
        <v>77003.460000000006</v>
      </c>
    </row>
    <row r="54" spans="1:2" ht="21.75" customHeight="1">
      <c r="A54" s="12" t="s">
        <v>438</v>
      </c>
      <c r="B54" s="9">
        <v>0</v>
      </c>
    </row>
    <row r="55" spans="1:2" ht="21.75" customHeight="1">
      <c r="A55" s="10" t="s">
        <v>439</v>
      </c>
      <c r="B55" s="11">
        <f>SUM(B56:B58)</f>
        <v>6260.68</v>
      </c>
    </row>
    <row r="56" spans="1:2" ht="21.75" customHeight="1">
      <c r="A56" s="12" t="s">
        <v>440</v>
      </c>
      <c r="B56" s="9">
        <v>1227.67</v>
      </c>
    </row>
    <row r="57" spans="1:2" ht="21.75" customHeight="1">
      <c r="A57" s="12" t="s">
        <v>441</v>
      </c>
      <c r="B57" s="9">
        <v>5033.01</v>
      </c>
    </row>
    <row r="58" spans="1:2" ht="21.75" customHeight="1">
      <c r="A58" s="12" t="s">
        <v>442</v>
      </c>
      <c r="B58" s="9">
        <v>0</v>
      </c>
    </row>
    <row r="59" spans="1:2" ht="21.75" customHeight="1">
      <c r="A59" s="10" t="s">
        <v>443</v>
      </c>
      <c r="B59" s="11">
        <f>SUM(B60:B64)</f>
        <v>1121990.26</v>
      </c>
    </row>
    <row r="60" spans="1:2" ht="21.75" customHeight="1">
      <c r="A60" s="12" t="s">
        <v>444</v>
      </c>
      <c r="B60" s="9">
        <v>2535.67</v>
      </c>
    </row>
    <row r="61" spans="1:2" ht="21.75" customHeight="1">
      <c r="A61" s="12" t="s">
        <v>445</v>
      </c>
      <c r="B61" s="9">
        <v>10176.530000000001</v>
      </c>
    </row>
    <row r="62" spans="1:2" ht="21.75" customHeight="1">
      <c r="A62" s="12" t="s">
        <v>446</v>
      </c>
      <c r="B62" s="9">
        <v>65872.27</v>
      </c>
    </row>
    <row r="63" spans="1:2" ht="21.75" customHeight="1">
      <c r="A63" s="12" t="s">
        <v>447</v>
      </c>
      <c r="B63" s="9">
        <f>7753.1+5565.92</f>
        <v>13319.02</v>
      </c>
    </row>
    <row r="64" spans="1:2" ht="21.75" customHeight="1">
      <c r="A64" s="12" t="s">
        <v>448</v>
      </c>
      <c r="B64" s="9">
        <f>776097.83+127887.76-3.9+114193.4+864+210+3500+3347.02+1709.71+33153.24-30872.29</f>
        <v>1030086.77</v>
      </c>
    </row>
    <row r="65" spans="1:2" ht="21.75" customHeight="1">
      <c r="A65" s="10" t="s">
        <v>449</v>
      </c>
      <c r="B65" s="11">
        <f>B66+B71+B75</f>
        <v>2446705.2599999998</v>
      </c>
    </row>
    <row r="66" spans="1:2" ht="21.75" customHeight="1">
      <c r="A66" s="10" t="s">
        <v>450</v>
      </c>
      <c r="B66" s="11">
        <f>SUM(B67:B70)</f>
        <v>2129429.37</v>
      </c>
    </row>
    <row r="67" spans="1:2" ht="21.75" customHeight="1">
      <c r="A67" s="12" t="s">
        <v>451</v>
      </c>
      <c r="B67" s="9">
        <f>19310.28+252037.01+1858082.08</f>
        <v>2129429.37</v>
      </c>
    </row>
    <row r="68" spans="1:2" ht="21.75" customHeight="1">
      <c r="A68" s="12" t="s">
        <v>452</v>
      </c>
      <c r="B68" s="9">
        <v>0</v>
      </c>
    </row>
    <row r="69" spans="1:2" ht="21.75" customHeight="1">
      <c r="A69" s="12" t="s">
        <v>453</v>
      </c>
      <c r="B69" s="9">
        <v>0</v>
      </c>
    </row>
    <row r="70" spans="1:2" ht="21.75" customHeight="1">
      <c r="A70" s="12" t="s">
        <v>454</v>
      </c>
      <c r="B70" s="9">
        <v>0</v>
      </c>
    </row>
    <row r="71" spans="1:2" ht="21.75" customHeight="1">
      <c r="A71" s="10" t="s">
        <v>455</v>
      </c>
      <c r="B71" s="11">
        <f>SUM(B72:B74)</f>
        <v>219410.31999999998</v>
      </c>
    </row>
    <row r="72" spans="1:2" ht="21.75" customHeight="1">
      <c r="A72" s="12" t="s">
        <v>456</v>
      </c>
      <c r="B72" s="9">
        <f>25302.93+139443.58+54663.81</f>
        <v>219410.31999999998</v>
      </c>
    </row>
    <row r="73" spans="1:2" ht="21.75" customHeight="1">
      <c r="A73" s="12" t="s">
        <v>457</v>
      </c>
      <c r="B73" s="9">
        <v>0</v>
      </c>
    </row>
    <row r="74" spans="1:2" ht="21.75" customHeight="1">
      <c r="A74" s="12" t="s">
        <v>458</v>
      </c>
      <c r="B74" s="9">
        <v>0</v>
      </c>
    </row>
    <row r="75" spans="1:2" ht="21.75" customHeight="1">
      <c r="A75" s="10" t="s">
        <v>459</v>
      </c>
      <c r="B75" s="11">
        <f>SUM(B76:B77)</f>
        <v>97865.57</v>
      </c>
    </row>
    <row r="76" spans="1:2" ht="21.75" customHeight="1">
      <c r="A76" s="12" t="s">
        <v>460</v>
      </c>
      <c r="B76" s="9">
        <v>97865.57</v>
      </c>
    </row>
    <row r="77" spans="1:2" ht="21.75" customHeight="1">
      <c r="A77" s="12" t="s">
        <v>461</v>
      </c>
      <c r="B77" s="9">
        <v>0</v>
      </c>
    </row>
    <row r="78" spans="1:2" ht="21.75" customHeight="1">
      <c r="A78" s="13" t="s">
        <v>462</v>
      </c>
      <c r="B78" s="14">
        <f>B28+B40+B46+B55+B59+B65</f>
        <v>7161795.9699999997</v>
      </c>
    </row>
    <row r="79" spans="1:2" ht="21.75" customHeight="1">
      <c r="A79" s="6" t="s">
        <v>463</v>
      </c>
      <c r="B79" s="18">
        <f>B24-B78</f>
        <v>-1090634.67</v>
      </c>
    </row>
    <row r="80" spans="1:2" ht="21.75" customHeight="1">
      <c r="A80" s="15"/>
      <c r="B80" s="16"/>
    </row>
    <row r="81" spans="1:2" ht="21.75" customHeight="1">
      <c r="A81" s="19" t="s">
        <v>464</v>
      </c>
      <c r="B81" s="20">
        <f>SUM(B82:B85)</f>
        <v>89369.72</v>
      </c>
    </row>
    <row r="82" spans="1:2" ht="21.75" customHeight="1">
      <c r="A82" s="21" t="s">
        <v>465</v>
      </c>
      <c r="B82" s="9">
        <v>87157.51</v>
      </c>
    </row>
    <row r="83" spans="1:2" ht="21.75" customHeight="1">
      <c r="A83" s="21" t="s">
        <v>466</v>
      </c>
      <c r="B83" s="9">
        <f>1320+892.21</f>
        <v>2212.21</v>
      </c>
    </row>
    <row r="84" spans="1:2" ht="21.75" customHeight="1">
      <c r="A84" s="21" t="s">
        <v>467</v>
      </c>
      <c r="B84" s="9">
        <v>0</v>
      </c>
    </row>
    <row r="85" spans="1:2" ht="21.75" customHeight="1">
      <c r="A85" s="21" t="s">
        <v>468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469</v>
      </c>
      <c r="B88" s="24"/>
    </row>
    <row r="89" spans="1:2" ht="21.75" customHeight="1">
      <c r="A89" s="25" t="s">
        <v>395</v>
      </c>
      <c r="B89" s="26">
        <f>A7</f>
        <v>45870</v>
      </c>
    </row>
    <row r="90" spans="1:2" ht="21.75" customHeight="1">
      <c r="A90" s="27" t="s">
        <v>470</v>
      </c>
      <c r="B90" s="28">
        <v>0</v>
      </c>
    </row>
    <row r="91" spans="1:2" ht="21.75" customHeight="1">
      <c r="A91" s="21" t="s">
        <v>471</v>
      </c>
      <c r="B91" s="9">
        <v>0</v>
      </c>
    </row>
    <row r="92" spans="1:2" ht="21.75" customHeight="1">
      <c r="A92" s="21" t="s">
        <v>472</v>
      </c>
      <c r="B92" s="9">
        <v>0</v>
      </c>
    </row>
    <row r="93" spans="1:2" ht="21.75" customHeight="1">
      <c r="A93" s="29" t="s">
        <v>473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474</v>
      </c>
      <c r="B95" s="24"/>
    </row>
    <row r="96" spans="1:2" ht="21.75" customHeight="1">
      <c r="A96" s="25" t="s">
        <v>395</v>
      </c>
      <c r="B96" s="26">
        <f>B9</f>
        <v>45870</v>
      </c>
    </row>
    <row r="97" spans="1:2" ht="21.75" customHeight="1">
      <c r="A97" s="27" t="s">
        <v>470</v>
      </c>
      <c r="B97" s="31">
        <v>0</v>
      </c>
    </row>
    <row r="98" spans="1:2" ht="21.75" customHeight="1">
      <c r="A98" s="21" t="s">
        <v>471</v>
      </c>
      <c r="B98" s="9">
        <v>12739997.99</v>
      </c>
    </row>
    <row r="99" spans="1:2" ht="21.75" customHeight="1">
      <c r="A99" s="21" t="s">
        <v>472</v>
      </c>
      <c r="B99" s="9">
        <v>12739997.99</v>
      </c>
    </row>
    <row r="100" spans="1:2" ht="21.75" customHeight="1">
      <c r="A100" s="21" t="s">
        <v>475</v>
      </c>
      <c r="B100" s="9">
        <v>0</v>
      </c>
    </row>
    <row r="101" spans="1:2" ht="21.75" customHeight="1">
      <c r="A101" s="21" t="s">
        <v>476</v>
      </c>
      <c r="B101" s="9">
        <v>0</v>
      </c>
    </row>
    <row r="102" spans="1:2" ht="21.75" customHeight="1">
      <c r="A102" s="32" t="s">
        <v>477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478</v>
      </c>
      <c r="B104" s="24"/>
    </row>
    <row r="105" spans="1:2" ht="21.75" customHeight="1">
      <c r="A105" s="25" t="s">
        <v>395</v>
      </c>
      <c r="B105" s="26">
        <f>A7</f>
        <v>45870</v>
      </c>
    </row>
    <row r="106" spans="1:2" ht="21.75" customHeight="1">
      <c r="A106" s="27" t="s">
        <v>470</v>
      </c>
      <c r="B106" s="31">
        <v>22446399.829999998</v>
      </c>
    </row>
    <row r="107" spans="1:2" ht="21.75" customHeight="1">
      <c r="A107" s="21" t="s">
        <v>471</v>
      </c>
      <c r="B107" s="9">
        <v>7074365.0999999996</v>
      </c>
    </row>
    <row r="108" spans="1:2" ht="21.75" customHeight="1">
      <c r="A108" s="21" t="s">
        <v>472</v>
      </c>
      <c r="B108" s="9">
        <f>5854063.56+92687.09-B109</f>
        <v>5753443.6599999992</v>
      </c>
    </row>
    <row r="109" spans="1:2" ht="21.75" customHeight="1">
      <c r="A109" s="21" t="s">
        <v>479</v>
      </c>
      <c r="B109" s="9">
        <v>193306.99</v>
      </c>
    </row>
    <row r="110" spans="1:2" ht="21.75" customHeight="1">
      <c r="A110" s="32" t="s">
        <v>480</v>
      </c>
      <c r="B110" s="18">
        <f>B106-B107+B108+B109</f>
        <v>21318785.379999995</v>
      </c>
    </row>
    <row r="111" spans="1:2" ht="21.75" customHeight="1">
      <c r="A111" s="30"/>
      <c r="B111" s="22"/>
    </row>
    <row r="112" spans="1:2" ht="21.75" customHeight="1">
      <c r="A112" s="29" t="s">
        <v>481</v>
      </c>
      <c r="B112" s="33">
        <f>B110+B102+B93</f>
        <v>21318785.379999995</v>
      </c>
    </row>
    <row r="113" spans="1:2" ht="21.75" customHeight="1">
      <c r="A113" s="30"/>
      <c r="B113" s="22"/>
    </row>
    <row r="114" spans="1:2" ht="21.75" customHeight="1">
      <c r="A114" s="23" t="s">
        <v>482</v>
      </c>
      <c r="B114" s="24"/>
    </row>
    <row r="115" spans="1:2" ht="21.75" customHeight="1">
      <c r="A115" s="25" t="s">
        <v>395</v>
      </c>
      <c r="B115" s="26">
        <f>B9</f>
        <v>45870</v>
      </c>
    </row>
    <row r="116" spans="1:2" ht="21.75" customHeight="1">
      <c r="A116" s="34" t="s">
        <v>483</v>
      </c>
      <c r="B116" s="9">
        <v>0</v>
      </c>
    </row>
    <row r="117" spans="1:2" ht="21.75" customHeight="1">
      <c r="A117" s="34" t="s">
        <v>484</v>
      </c>
      <c r="B117" s="9">
        <v>0</v>
      </c>
    </row>
    <row r="118" spans="1:2" ht="21.75" customHeight="1">
      <c r="A118" s="34" t="s">
        <v>485</v>
      </c>
      <c r="B118" s="9">
        <f>3439099.49+1565509.81+829853.91+231591.93</f>
        <v>6066055.1400000006</v>
      </c>
    </row>
    <row r="119" spans="1:2" ht="32.25" customHeight="1">
      <c r="A119" s="34" t="s">
        <v>486</v>
      </c>
      <c r="B119" s="9">
        <v>0</v>
      </c>
    </row>
    <row r="120" spans="1:2" ht="21.75" customHeight="1">
      <c r="A120" s="29" t="s">
        <v>38</v>
      </c>
      <c r="B120" s="18">
        <f>SUM(B116:B119)</f>
        <v>6066055.1400000006</v>
      </c>
    </row>
    <row r="121" spans="1:2" ht="21.75" customHeight="1">
      <c r="A121" s="30"/>
      <c r="B121" s="22"/>
    </row>
    <row r="122" spans="1:2" ht="21.75" customHeight="1">
      <c r="A122" s="23" t="s">
        <v>487</v>
      </c>
      <c r="B122" s="24"/>
    </row>
    <row r="123" spans="1:2" ht="21.75" customHeight="1">
      <c r="A123" s="25" t="s">
        <v>395</v>
      </c>
      <c r="B123" s="35">
        <f>B9</f>
        <v>45870</v>
      </c>
    </row>
    <row r="124" spans="1:2" ht="21.75" customHeight="1">
      <c r="A124" s="27" t="s">
        <v>470</v>
      </c>
      <c r="B124" s="31">
        <v>10280313.4</v>
      </c>
    </row>
    <row r="125" spans="1:2" ht="21.75" customHeight="1">
      <c r="A125" s="27" t="s">
        <v>488</v>
      </c>
      <c r="B125" s="31">
        <f>SUM(B36:B38)</f>
        <v>348512.66000000003</v>
      </c>
    </row>
    <row r="126" spans="1:2" ht="21.75" customHeight="1">
      <c r="A126" s="21" t="s">
        <v>489</v>
      </c>
      <c r="B126" s="9">
        <f>-197269.9+224449.2</f>
        <v>27179.300000000017</v>
      </c>
    </row>
    <row r="127" spans="1:2" ht="21.75" customHeight="1">
      <c r="A127" s="21" t="s">
        <v>490</v>
      </c>
      <c r="B127" s="9">
        <f>-31636.8+143331.75</f>
        <v>111694.95</v>
      </c>
    </row>
    <row r="128" spans="1:2" ht="21.75" customHeight="1">
      <c r="A128" s="21" t="s">
        <v>491</v>
      </c>
      <c r="B128" s="9">
        <f>-18823.71+69246.7</f>
        <v>50422.99</v>
      </c>
    </row>
    <row r="129" spans="1:2" ht="21.75" customHeight="1">
      <c r="A129" s="29" t="s">
        <v>492</v>
      </c>
      <c r="B129" s="18">
        <f>B124+B125-B126-B127-B128</f>
        <v>10439528.82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1.5139814814814812" bottom="0.34722222222222199" header="0.31496062992126" footer="0.31496062992126"/>
  <pageSetup paperSize="9" scale="88" orientation="portrait" r:id="rId1"/>
  <rowBreaks count="2" manualBreakCount="2">
    <brk id="8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</cp:lastModifiedBy>
  <cp:lastPrinted>2025-10-14T17:16:34Z</cp:lastPrinted>
  <dcterms:created xsi:type="dcterms:W3CDTF">2011-05-06T11:59:00Z</dcterms:created>
  <dcterms:modified xsi:type="dcterms:W3CDTF">2025-10-14T17:17:28Z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