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HRTGB - ESTATÍSTICA DO ESTADO\Estatísticas do Estado 2025\"/>
    </mc:Choice>
  </mc:AlternateContent>
  <xr:revisionPtr revIDLastSave="0" documentId="13_ncr:1_{8D9BE72F-0CA7-4F28-B4B8-D4D4976FB0CD}" xr6:coauthVersionLast="47" xr6:coauthVersionMax="47" xr10:uidLastSave="{00000000-0000-0000-0000-000000000000}"/>
  <bookViews>
    <workbookView xWindow="-120" yWindow="-120" windowWidth="29040" windowHeight="17640" tabRatio="942" activeTab="7" xr2:uid="{00000000-000D-0000-FFFF-FFFF00000000}"/>
  </bookViews>
  <sheets>
    <sheet name="Capa" sheetId="12" r:id="rId1"/>
    <sheet name="Leitos" sheetId="22" r:id="rId2"/>
    <sheet name="Urgência Emergência" sheetId="19" r:id="rId3"/>
    <sheet name="Assistencial" sheetId="20" r:id="rId4"/>
    <sheet name="Ambulatorio" sheetId="18" r:id="rId5"/>
    <sheet name="SADT" sheetId="21" r:id="rId6"/>
    <sheet name="Atividade Cirúrgica" sheetId="17" r:id="rId7"/>
    <sheet name="Qualidade" sheetId="8" r:id="rId8"/>
    <sheet name="Qualidade PSU" sheetId="16" r:id="rId9"/>
    <sheet name="Recursos Humanos" sheetId="15" r:id="rId10"/>
    <sheet name="Fármacia" sheetId="7" r:id="rId11"/>
    <sheet name="Materiais" sheetId="14" r:id="rId12"/>
    <sheet name="Financeiro" sheetId="5" r:id="rId13"/>
  </sheets>
  <definedNames>
    <definedName name="_xlnm.Print_Area" localSheetId="4">Ambulatorio!$A$1:$E$78</definedName>
    <definedName name="_xlnm.Print_Area" localSheetId="3">Assistencial!$A$1:$I$39</definedName>
    <definedName name="_xlnm.Print_Area" localSheetId="6">'Atividade Cirúrgica'!$A$1:$D$198</definedName>
    <definedName name="_xlnm.Print_Area" localSheetId="1">Leitos!$A$1:$F$44</definedName>
    <definedName name="_xlnm.Print_Area" localSheetId="11">Materiais!$A$1:$F$45</definedName>
    <definedName name="_xlnm.Print_Area" localSheetId="7">Qualidade!$A$1:$I$57</definedName>
    <definedName name="_xlnm.Print_Area" localSheetId="5">SADT!$A$1:$F$56</definedName>
    <definedName name="_xlnm.Print_Area" localSheetId="2">'Urgência Emergência'!$A$1:$F$18</definedName>
    <definedName name="ValidDepts" localSheetId="4">Ambulatorio!#REF!</definedName>
    <definedName name="ValidDepts" localSheetId="3">Assistencial!#REF!</definedName>
    <definedName name="ValidDepts" localSheetId="5">SADT!#REF!</definedName>
    <definedName name="ValidDepts" localSheetId="2">'Urgência Emergência'!#REF!</definedName>
    <definedName name="ValidDepts">#REF!</definedName>
  </definedNames>
  <calcPr calcId="191029"/>
</workbook>
</file>

<file path=xl/calcChain.xml><?xml version="1.0" encoding="utf-8"?>
<calcChain xmlns="http://schemas.openxmlformats.org/spreadsheetml/2006/main">
  <c r="B20" i="8" l="1"/>
  <c r="F32" i="8"/>
  <c r="D15" i="21" l="1"/>
  <c r="D14" i="21"/>
  <c r="D13" i="21"/>
  <c r="D12" i="21"/>
  <c r="D11" i="21"/>
  <c r="D10" i="21"/>
  <c r="D9" i="21"/>
  <c r="D8" i="21"/>
  <c r="D16" i="21" s="1"/>
  <c r="C10" i="16"/>
  <c r="F14" i="20" l="1"/>
  <c r="B26" i="20"/>
  <c r="D28" i="18"/>
  <c r="I12" i="20"/>
  <c r="I9" i="20"/>
  <c r="H12" i="20"/>
  <c r="H9" i="20"/>
  <c r="B13" i="20"/>
  <c r="B12" i="20"/>
  <c r="B10" i="20"/>
  <c r="B9" i="20"/>
  <c r="B8" i="20"/>
  <c r="C12" i="20"/>
  <c r="C9" i="20"/>
  <c r="C8" i="20"/>
  <c r="D12" i="18"/>
  <c r="C36" i="18"/>
  <c r="D24" i="18"/>
  <c r="D23" i="18"/>
  <c r="D22" i="18"/>
  <c r="B22" i="18"/>
  <c r="D21" i="18"/>
  <c r="D11" i="18"/>
  <c r="C191" i="17" l="1"/>
  <c r="C157" i="17"/>
  <c r="B128" i="5"/>
  <c r="B127" i="5"/>
  <c r="B126" i="5"/>
  <c r="B118" i="5"/>
  <c r="B107" i="5"/>
  <c r="B108" i="5"/>
  <c r="B67" i="5"/>
  <c r="B72" i="5"/>
  <c r="B64" i="5"/>
  <c r="B63" i="5"/>
  <c r="B38" i="5"/>
  <c r="B37" i="5"/>
  <c r="B36" i="5"/>
  <c r="B33" i="5"/>
  <c r="B30" i="5"/>
  <c r="B53" i="5"/>
  <c r="B49" i="5"/>
  <c r="B47" i="5"/>
  <c r="B41" i="5"/>
  <c r="B42" i="5"/>
  <c r="B21" i="5"/>
  <c r="C20" i="8" l="1"/>
  <c r="F26" i="21"/>
  <c r="F9" i="19" l="1"/>
  <c r="C42" i="22"/>
  <c r="B4" i="14"/>
  <c r="B4" i="15"/>
  <c r="B4" i="16"/>
  <c r="B4" i="17"/>
  <c r="B4" i="21"/>
  <c r="B4" i="18"/>
  <c r="B4" i="20"/>
  <c r="B4" i="19"/>
  <c r="H19" i="16"/>
  <c r="H18" i="16"/>
  <c r="H17" i="16"/>
  <c r="H16" i="16"/>
  <c r="H20" i="16" l="1"/>
  <c r="B125" i="5"/>
  <c r="B129" i="5" s="1"/>
  <c r="B120" i="5"/>
  <c r="B110" i="5"/>
  <c r="B102" i="5"/>
  <c r="B93" i="5"/>
  <c r="B81" i="5"/>
  <c r="B75" i="5"/>
  <c r="B71" i="5"/>
  <c r="B66" i="5"/>
  <c r="B59" i="5"/>
  <c r="B55" i="5"/>
  <c r="B46" i="5"/>
  <c r="B40" i="5"/>
  <c r="B29" i="5"/>
  <c r="B28" i="5"/>
  <c r="A26" i="5"/>
  <c r="B23" i="5"/>
  <c r="B16" i="5"/>
  <c r="A7" i="5"/>
  <c r="B105" i="5" s="1"/>
  <c r="A4" i="5"/>
  <c r="B3" i="14"/>
  <c r="B4" i="7"/>
  <c r="B3" i="7"/>
  <c r="G73" i="15"/>
  <c r="F73" i="15"/>
  <c r="E73" i="15"/>
  <c r="B52" i="15"/>
  <c r="L26" i="15"/>
  <c r="K26" i="15"/>
  <c r="J26" i="15"/>
  <c r="B19" i="15"/>
  <c r="B3" i="15"/>
  <c r="F20" i="16"/>
  <c r="E20" i="16"/>
  <c r="D20" i="16"/>
  <c r="C20" i="16"/>
  <c r="G19" i="16"/>
  <c r="J19" i="16" s="1"/>
  <c r="B19" i="16"/>
  <c r="G18" i="16"/>
  <c r="J18" i="16" s="1"/>
  <c r="B18" i="16"/>
  <c r="G17" i="16"/>
  <c r="J17" i="16" s="1"/>
  <c r="B17" i="16"/>
  <c r="G16" i="16"/>
  <c r="B16" i="16"/>
  <c r="E12" i="16"/>
  <c r="C12" i="16"/>
  <c r="B3" i="16"/>
  <c r="D55" i="8"/>
  <c r="H51" i="8"/>
  <c r="G51" i="8"/>
  <c r="F51" i="8"/>
  <c r="E51" i="8"/>
  <c r="D51" i="8"/>
  <c r="C51" i="8"/>
  <c r="B51" i="8"/>
  <c r="H32" i="8"/>
  <c r="I28" i="8" s="1"/>
  <c r="E32" i="8"/>
  <c r="B28" i="8" s="1"/>
  <c r="B33" i="8" s="1"/>
  <c r="G30" i="8"/>
  <c r="G29" i="8"/>
  <c r="G28" i="8"/>
  <c r="G27" i="8"/>
  <c r="G26" i="8"/>
  <c r="D20" i="8"/>
  <c r="B4" i="8"/>
  <c r="B3" i="8"/>
  <c r="C197" i="17"/>
  <c r="C9" i="17"/>
  <c r="C8" i="17"/>
  <c r="C16" i="17"/>
  <c r="D56" i="21"/>
  <c r="D43" i="21"/>
  <c r="E30" i="21"/>
  <c r="D30" i="21"/>
  <c r="C30" i="21"/>
  <c r="A30" i="21"/>
  <c r="F29" i="21"/>
  <c r="A29" i="21"/>
  <c r="F28" i="21"/>
  <c r="A28" i="21"/>
  <c r="F27" i="21"/>
  <c r="A27" i="21"/>
  <c r="A26" i="21"/>
  <c r="F25" i="21"/>
  <c r="A25" i="21"/>
  <c r="F24" i="21"/>
  <c r="A24" i="21"/>
  <c r="F23" i="21"/>
  <c r="A23" i="21"/>
  <c r="F22" i="21"/>
  <c r="A22" i="21"/>
  <c r="C16" i="21"/>
  <c r="B16" i="21"/>
  <c r="D78" i="18"/>
  <c r="C78" i="18"/>
  <c r="B78" i="18"/>
  <c r="E77" i="18"/>
  <c r="E78" i="18" s="1"/>
  <c r="D73" i="18"/>
  <c r="C73" i="18"/>
  <c r="B73" i="18"/>
  <c r="E72" i="18"/>
  <c r="E73" i="18" s="1"/>
  <c r="E71" i="18"/>
  <c r="E76" i="18" s="1"/>
  <c r="D71" i="18"/>
  <c r="D76" i="18" s="1"/>
  <c r="C71" i="18"/>
  <c r="C76" i="18" s="1"/>
  <c r="B71" i="18"/>
  <c r="B76" i="18" s="1"/>
  <c r="D68" i="18"/>
  <c r="C68" i="18"/>
  <c r="B68" i="18"/>
  <c r="E67" i="18"/>
  <c r="E66" i="18"/>
  <c r="E65" i="18"/>
  <c r="E64" i="18"/>
  <c r="E63" i="18"/>
  <c r="E62" i="18"/>
  <c r="E61" i="18"/>
  <c r="E60" i="18"/>
  <c r="E59" i="18"/>
  <c r="E58" i="18"/>
  <c r="E57" i="18"/>
  <c r="E56" i="18"/>
  <c r="E55" i="18"/>
  <c r="E54" i="18"/>
  <c r="E53" i="18"/>
  <c r="E52" i="18"/>
  <c r="E51" i="18"/>
  <c r="C45" i="18"/>
  <c r="B45" i="18"/>
  <c r="D44" i="18"/>
  <c r="D43" i="18"/>
  <c r="D42" i="18"/>
  <c r="D41" i="18"/>
  <c r="C40" i="18"/>
  <c r="B40" i="18"/>
  <c r="C37" i="18"/>
  <c r="B37" i="18"/>
  <c r="D36" i="18"/>
  <c r="D35" i="18"/>
  <c r="D31" i="18"/>
  <c r="C31" i="18"/>
  <c r="B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F37" i="20"/>
  <c r="D37" i="20"/>
  <c r="A37" i="20"/>
  <c r="F36" i="20"/>
  <c r="D36" i="20"/>
  <c r="A36" i="20"/>
  <c r="F35" i="20"/>
  <c r="D35" i="20"/>
  <c r="A35" i="20"/>
  <c r="F34" i="20"/>
  <c r="D34" i="20"/>
  <c r="A34" i="20"/>
  <c r="F33" i="20"/>
  <c r="D33" i="20"/>
  <c r="A33" i="20"/>
  <c r="F32" i="20"/>
  <c r="D32" i="20"/>
  <c r="A32" i="20"/>
  <c r="F31" i="20"/>
  <c r="D31" i="20"/>
  <c r="A31" i="20"/>
  <c r="E25" i="20"/>
  <c r="E26" i="20" s="1"/>
  <c r="A24" i="20"/>
  <c r="D24" i="20" s="1"/>
  <c r="A23" i="20"/>
  <c r="D23" i="20" s="1"/>
  <c r="A22" i="20"/>
  <c r="D22" i="20" s="1"/>
  <c r="A21" i="20"/>
  <c r="D21" i="20" s="1"/>
  <c r="A20" i="20"/>
  <c r="D20" i="20" s="1"/>
  <c r="A19" i="20"/>
  <c r="D19" i="20" s="1"/>
  <c r="I15" i="20"/>
  <c r="H15" i="20"/>
  <c r="G15" i="20"/>
  <c r="E15" i="20"/>
  <c r="D15" i="20"/>
  <c r="C15" i="20"/>
  <c r="B15" i="20"/>
  <c r="F13" i="20"/>
  <c r="B36" i="20" s="1"/>
  <c r="F12" i="20"/>
  <c r="B35" i="20" s="1"/>
  <c r="F11" i="20"/>
  <c r="B34" i="20" s="1"/>
  <c r="F10" i="20"/>
  <c r="B33" i="20" s="1"/>
  <c r="F9" i="20"/>
  <c r="B32" i="20" s="1"/>
  <c r="F8" i="20"/>
  <c r="B31" i="20" s="1"/>
  <c r="F10" i="19"/>
  <c r="E15" i="22"/>
  <c r="D15" i="22"/>
  <c r="C15" i="22"/>
  <c r="B15" i="22"/>
  <c r="A14" i="22"/>
  <c r="A13" i="22"/>
  <c r="A12" i="22"/>
  <c r="A11" i="22"/>
  <c r="A10" i="22"/>
  <c r="A9" i="22"/>
  <c r="A8" i="22"/>
  <c r="B8" i="15" l="1"/>
  <c r="B9" i="15"/>
  <c r="C21" i="17"/>
  <c r="C22" i="17"/>
  <c r="F38" i="20"/>
  <c r="G32" i="8"/>
  <c r="B24" i="5"/>
  <c r="D38" i="20"/>
  <c r="E31" i="20"/>
  <c r="E31" i="18"/>
  <c r="B112" i="5"/>
  <c r="E33" i="20"/>
  <c r="E35" i="20"/>
  <c r="B65" i="5"/>
  <c r="B78" i="5" s="1"/>
  <c r="B27" i="20"/>
  <c r="E37" i="20"/>
  <c r="E38" i="20" s="1"/>
  <c r="C10" i="17"/>
  <c r="D16" i="17" s="1"/>
  <c r="B89" i="5"/>
  <c r="I29" i="8"/>
  <c r="F15" i="20"/>
  <c r="B29" i="8" s="1"/>
  <c r="B37" i="20"/>
  <c r="D37" i="18"/>
  <c r="B9" i="5"/>
  <c r="B115" i="5" s="1"/>
  <c r="I30" i="8"/>
  <c r="E32" i="20"/>
  <c r="E34" i="20"/>
  <c r="E36" i="20"/>
  <c r="I27" i="8"/>
  <c r="I26" i="8"/>
  <c r="D45" i="18"/>
  <c r="E68" i="18"/>
  <c r="F30" i="21"/>
  <c r="C43" i="22"/>
  <c r="B123" i="5"/>
  <c r="B20" i="16"/>
  <c r="G20" i="16"/>
  <c r="J20" i="16" s="1"/>
  <c r="I16" i="16"/>
  <c r="I17" i="16"/>
  <c r="I18" i="16"/>
  <c r="I19" i="16"/>
  <c r="J16" i="16"/>
  <c r="I32" i="8" l="1"/>
  <c r="B79" i="5"/>
  <c r="I20" i="16"/>
  <c r="B96" i="5"/>
  <c r="B38" i="20"/>
  <c r="C37" i="20" s="1"/>
  <c r="B26" i="5"/>
  <c r="B37" i="8"/>
  <c r="C8" i="8"/>
  <c r="C38" i="20" l="1"/>
  <c r="C34" i="20"/>
  <c r="C32" i="20"/>
  <c r="C33" i="20"/>
  <c r="C35" i="20"/>
  <c r="C36" i="20"/>
  <c r="C31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limansgc</author>
  </authors>
  <commentList>
    <comment ref="A32" authorId="0" shapeId="0" xr:uid="{00000000-0006-0000-0500-000001000000}">
      <text>
        <r>
          <rPr>
            <b/>
            <sz val="9"/>
            <rFont val="Arial"/>
            <family val="2"/>
          </rPr>
          <t>GAEMC:</t>
        </r>
        <r>
          <rPr>
            <sz val="9"/>
            <rFont val="Arial"/>
            <family val="2"/>
          </rPr>
          <t xml:space="preserve"> pode acrescentar outros, caso tenha.
</t>
        </r>
      </text>
    </comment>
    <comment ref="A45" authorId="0" shapeId="0" xr:uid="{00000000-0006-0000-0500-000002000000}">
      <text>
        <r>
          <rPr>
            <b/>
            <sz val="9"/>
            <rFont val="Arial"/>
            <family val="2"/>
          </rPr>
          <t>GAEMC</t>
        </r>
        <r>
          <rPr>
            <sz val="9"/>
            <rFont val="Arial"/>
            <family val="2"/>
          </rPr>
          <t xml:space="preserve">: pode acrescentar outros, caso tenha.
</t>
        </r>
      </text>
    </comment>
  </commentList>
</comments>
</file>

<file path=xl/sharedStrings.xml><?xml version="1.0" encoding="utf-8"?>
<sst xmlns="http://schemas.openxmlformats.org/spreadsheetml/2006/main" count="904" uniqueCount="732">
  <si>
    <t>ORGANIZAÇÃO SOCIAL:</t>
  </si>
  <si>
    <t>INSTITUTO SANTE</t>
  </si>
  <si>
    <t>HOSPITAL:</t>
  </si>
  <si>
    <t>HOSPITAL REGIONAL TEREZINHA GAIO BASSO</t>
  </si>
  <si>
    <t>SUPERVISÃO E ACOMPANHAMENTO DA EXECUÇÃO DO CONTRATO DE GESTÃO nº 07/2023</t>
  </si>
  <si>
    <t>Planilha - Atividade Assistencial Hospitalar - Mensal</t>
  </si>
  <si>
    <t>Hospital:</t>
  </si>
  <si>
    <t>Mês/Ano:</t>
  </si>
  <si>
    <t>1 Leitos</t>
  </si>
  <si>
    <t>Clinicas</t>
  </si>
  <si>
    <t>Leito Existente</t>
  </si>
  <si>
    <t>Leito Desativado</t>
  </si>
  <si>
    <t>Leito Bloqueado</t>
  </si>
  <si>
    <t>Leito Extra</t>
  </si>
  <si>
    <t>Total</t>
  </si>
  <si>
    <t>2. Leitos CNES 6683134</t>
  </si>
  <si>
    <t xml:space="preserve"> COMPLEMENTAR</t>
  </si>
  <si>
    <t>UTI ADULTO - TIPO II</t>
  </si>
  <si>
    <t>ESPEC - CIRURGICO</t>
  </si>
  <si>
    <t>BUCO MAXILO FACIAL</t>
  </si>
  <si>
    <t>CIRURGIA GERAL</t>
  </si>
  <si>
    <t xml:space="preserve">GINECOLOGIA </t>
  </si>
  <si>
    <t xml:space="preserve">NEFROLOGIA / UROLOGIA </t>
  </si>
  <si>
    <t xml:space="preserve">NEUROCIRURGIA </t>
  </si>
  <si>
    <t xml:space="preserve">OFTALMOLOGIA </t>
  </si>
  <si>
    <t xml:space="preserve">ORTOPEDIA / TRAUMATOLOGIA </t>
  </si>
  <si>
    <t xml:space="preserve">OTORRINOLARINGOLOGIA </t>
  </si>
  <si>
    <t xml:space="preserve"> ESPEC - CLINICO</t>
  </si>
  <si>
    <t xml:space="preserve">CARDIOLOGIA </t>
  </si>
  <si>
    <t xml:space="preserve">CLINICA GERAL </t>
  </si>
  <si>
    <t xml:space="preserve">NEFRO / UROLOGIA </t>
  </si>
  <si>
    <t xml:space="preserve">NEUROLOGIA </t>
  </si>
  <si>
    <t xml:space="preserve">ONCOLOGIA </t>
  </si>
  <si>
    <t xml:space="preserve">PNEUMOLOGIA </t>
  </si>
  <si>
    <t xml:space="preserve"> OBSTETRICO</t>
  </si>
  <si>
    <t>OBSTETRICIA CIRURGICA</t>
  </si>
  <si>
    <t xml:space="preserve">OBSTETRICIA CLINICA </t>
  </si>
  <si>
    <t xml:space="preserve"> PEDIATRICO</t>
  </si>
  <si>
    <t>PEDIATRIA CLINICA</t>
  </si>
  <si>
    <t>TOTAL</t>
  </si>
  <si>
    <t>Planilha - Atividade Assistencial - Mensal</t>
  </si>
  <si>
    <t>1. ATENDIMENTO DE URGÊNCIA E EMERGÊNCIA</t>
  </si>
  <si>
    <t>Quantidade</t>
  </si>
  <si>
    <t>1. Atendimento de Urgência e Emergência em Atenção Especializada</t>
  </si>
  <si>
    <t>2. Cirurgias de Urgência e Emergência</t>
  </si>
  <si>
    <t xml:space="preserve">*CG, PAG 39, 1.5.3. A EXECUTORA deverá enviar mensalmente até o 15º dia subsequente ao mês de produção, as seguintes informações: o quantitativo de atendimentos  de Urgência/Emergência, escala de serviço médico e de enfermagem da EMG, escala de sobreaviso das especialidades, Relatório do Sistema de Gestão Hospitalar com o número de atendimentos conforme a Classificação de Risco. </t>
  </si>
  <si>
    <t>CNES:</t>
  </si>
  <si>
    <t>1. ASSISTÊNCIA HOSPITALAR - INTERNAÇÃO</t>
  </si>
  <si>
    <t>Altas</t>
  </si>
  <si>
    <t>Transferências Externas</t>
  </si>
  <si>
    <t>Óbitos &lt; 24hs</t>
  </si>
  <si>
    <t>Óbitos &gt;= 24hs</t>
  </si>
  <si>
    <t>Saídas Hospitalares</t>
  </si>
  <si>
    <t>Transferências Internas (UTI)</t>
  </si>
  <si>
    <t>Leitos Operacionais Dia</t>
  </si>
  <si>
    <t>Pacientes - Dia</t>
  </si>
  <si>
    <t>1. Clínica Cirúrgica</t>
  </si>
  <si>
    <t>-</t>
  </si>
  <si>
    <t>2. Clínica Médica</t>
  </si>
  <si>
    <t>3. Oncologia Clínica</t>
  </si>
  <si>
    <t>4. Oncologia Cirúrgica</t>
  </si>
  <si>
    <t>5. Clínica Gineco/Obstétrica</t>
  </si>
  <si>
    <t>6. Clínica Pediátrica</t>
  </si>
  <si>
    <t>7. UTI Adulto</t>
  </si>
  <si>
    <t>C.G., PAG. 39, 1.6.2. Para fins de aferição de meta serão consideradas as Saídas Hospitalares ocorridas entre o dia 1º a 30/31 de cada mês, tendo como parâmetro o dia de saída do paciente do Hospital.</t>
  </si>
  <si>
    <t xml:space="preserve">1.1 Saídas das UTIs por Clínica 
(Transf.  Externas + Óbitos) </t>
  </si>
  <si>
    <t xml:space="preserve">1.2 Transf.  Internas das UTIs por Clínica </t>
  </si>
  <si>
    <t>N° Saídas</t>
  </si>
  <si>
    <t>N° Transferências</t>
  </si>
  <si>
    <t>7. Outra Unidade Hospitalar</t>
  </si>
  <si>
    <t>1.3 Clínicas</t>
  </si>
  <si>
    <t>Número de Saídas Hospitalares</t>
  </si>
  <si>
    <t>Bases para o cálculo do número de saídas</t>
  </si>
  <si>
    <t>Média Mensal</t>
  </si>
  <si>
    <t>% Total</t>
  </si>
  <si>
    <t>Leitos Operacionais</t>
  </si>
  <si>
    <t>Permanência Média</t>
  </si>
  <si>
    <t>Taxa de Ocupação</t>
  </si>
  <si>
    <t>Planilha - Atividade Assistencial Ambulatorial - Mensal</t>
  </si>
  <si>
    <t>1. ATENDIMENTO AMBULATORIAL</t>
  </si>
  <si>
    <t>1.1 Consultas Médicas</t>
  </si>
  <si>
    <t>Especialidade</t>
  </si>
  <si>
    <r>
      <t xml:space="preserve">Primeiras Consultas 
(TCGA, Agenda Interna e </t>
    </r>
    <r>
      <rPr>
        <b/>
        <sz val="11"/>
        <rFont val="Calibri"/>
        <family val="2"/>
      </rPr>
      <t>Regulação**</t>
    </r>
    <r>
      <rPr>
        <sz val="11"/>
        <rFont val="Calibri"/>
        <family val="2"/>
      </rPr>
      <t>)</t>
    </r>
  </si>
  <si>
    <t>Interconsulta</t>
  </si>
  <si>
    <t>Consulta Subsequente</t>
  </si>
  <si>
    <t>Anestesiologia</t>
  </si>
  <si>
    <t>Cardiologia</t>
  </si>
  <si>
    <t>Cirurgia Geral</t>
  </si>
  <si>
    <t>Cirurgia Vascular</t>
  </si>
  <si>
    <t>Clínica Médica Geral</t>
  </si>
  <si>
    <t>Gastroenterologia</t>
  </si>
  <si>
    <t>Ginecologia/obstetrícia</t>
  </si>
  <si>
    <t>Hepatologia</t>
  </si>
  <si>
    <t>Infectologia</t>
  </si>
  <si>
    <t xml:space="preserve">Mastologia </t>
  </si>
  <si>
    <t>Neurocirurgia</t>
  </si>
  <si>
    <t>Neurologia</t>
  </si>
  <si>
    <t>Oftalmologia</t>
  </si>
  <si>
    <t>Oncologia Clínica</t>
  </si>
  <si>
    <t>Oncologia Cirúrgica</t>
  </si>
  <si>
    <t>Ortopedia/Traumatologia</t>
  </si>
  <si>
    <t>Otorrinolaringologia Adulto</t>
  </si>
  <si>
    <t>Otorrinolaringologia Pediátrica</t>
  </si>
  <si>
    <t>Pediatria</t>
  </si>
  <si>
    <t>Pneumologia</t>
  </si>
  <si>
    <t>Proctologia</t>
  </si>
  <si>
    <t>Urologia</t>
  </si>
  <si>
    <t>1.2 Procedimentos Ambulatoriais</t>
  </si>
  <si>
    <t>Realizado Regulação**</t>
  </si>
  <si>
    <t>Agenda Interna</t>
  </si>
  <si>
    <t>Procedimentos Oftalmológicos 
(fotocoagulação a laser, outros...)</t>
  </si>
  <si>
    <t>Procedimentos de Quimioterapia (nº de sessões)</t>
  </si>
  <si>
    <t>1.3  Consultas não médicas</t>
  </si>
  <si>
    <t>Bucomaxilofacial</t>
  </si>
  <si>
    <t>Fonoaudiologia</t>
  </si>
  <si>
    <t>Nutrição Clínica</t>
  </si>
  <si>
    <t>Psicologia</t>
  </si>
  <si>
    <t>2. ATENDIMENTO AMBULATORIAL - REGULAÇÃO</t>
  </si>
  <si>
    <t>2.1 Consultas Médicas disponibilizadas para a Central de Regulação Ambulatorial</t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</si>
  <si>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</si>
  <si>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</si>
  <si>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color rgb="FF000000"/>
        <rFont val="Calibri"/>
        <family val="2"/>
      </rPr>
      <t xml:space="preserve">Nº de Consultas </t>
    </r>
    <r>
      <rPr>
        <b/>
        <sz val="11"/>
        <color rgb="FF000000"/>
        <rFont val="Calibri"/>
        <family val="2"/>
      </rPr>
      <t>Realizadas</t>
    </r>
    <r>
      <rPr>
        <sz val="11"/>
        <color rgb="FF000000"/>
        <rFont val="Calibri"/>
        <family val="2"/>
      </rPr>
      <t xml:space="preserve"> com os pacientes oriundos da </t>
    </r>
    <r>
      <rPr>
        <b/>
        <sz val="11"/>
        <color rgb="FF000000"/>
        <rFont val="Calibri"/>
        <family val="2"/>
      </rPr>
      <t>Regulação**</t>
    </r>
  </si>
  <si>
    <r>
      <rPr>
        <sz val="11"/>
        <color rgb="FF000000"/>
        <rFont val="Calibri"/>
        <family val="2"/>
      </rPr>
      <t xml:space="preserve">Nº de Pacientes </t>
    </r>
    <r>
      <rPr>
        <b/>
        <sz val="11"/>
        <color rgb="FF000000"/>
        <rFont val="Calibri"/>
        <family val="2"/>
      </rPr>
      <t>Faltantes</t>
    </r>
    <r>
      <rPr>
        <sz val="11"/>
        <color rgb="FF000000"/>
        <rFont val="Calibri"/>
        <family val="2"/>
      </rPr>
      <t xml:space="preserve"> oriundos do agendamento da Regulação</t>
    </r>
  </si>
  <si>
    <t>Oncologia</t>
  </si>
  <si>
    <t>2.2 Procedimentos Ambulatoriais</t>
  </si>
  <si>
    <t>2.3 Consultas não médicas</t>
  </si>
  <si>
    <t>Planilha - Atividade Assistencial  - Mensal</t>
  </si>
  <si>
    <t>1.SERVIÇOS DE APOIO DIAGNÓSTICO E TERAPÊUTICO -  EXTERNO REALIZADO</t>
  </si>
  <si>
    <r>
      <t xml:space="preserve">Realizado </t>
    </r>
    <r>
      <rPr>
        <b/>
        <sz val="11"/>
        <color rgb="FF00000A"/>
        <rFont val="Calibri"/>
        <family val="2"/>
      </rPr>
      <t>Regulação**</t>
    </r>
  </si>
  <si>
    <t>Agenda Interna Hospital + TCGA</t>
  </si>
  <si>
    <t>Total / Meta Mês</t>
  </si>
  <si>
    <t>Colonoscopia</t>
  </si>
  <si>
    <t>Endoscopia</t>
  </si>
  <si>
    <t>Exames de Anatomia Patológica</t>
  </si>
  <si>
    <t>Mamografia</t>
  </si>
  <si>
    <t>Radiologia</t>
  </si>
  <si>
    <t>Retinografia Colorida Binocular</t>
  </si>
  <si>
    <t>Tomografia/Angiotomografia</t>
  </si>
  <si>
    <t>Ultrassonografia</t>
  </si>
  <si>
    <r>
      <rPr>
        <sz val="11"/>
        <rFont val="Calibri"/>
        <family val="2"/>
      </rPr>
      <t xml:space="preserve">1.8.4. Para fins de aferição de meta serão considerados exames externos os atendimentos realizados em caráter eletivo, ocorridos entre o dia 1º a 30/31 de cada mês, tendo como parâmetro </t>
    </r>
    <r>
      <rPr>
        <b/>
        <sz val="11"/>
        <rFont val="Calibri"/>
        <family val="2"/>
      </rPr>
      <t>o dia em que o paciente realizou o exame no Hospital</t>
    </r>
    <r>
      <rPr>
        <sz val="11"/>
        <rFont val="Calibri"/>
        <family val="2"/>
      </rPr>
      <t>. Esta meta será acompanhada através do Sistema de Informações Ambulatoriais.</t>
    </r>
  </si>
  <si>
    <t>2. SADT Externo - Regulação</t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</si>
  <si>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</si>
  <si>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</si>
  <si>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Realizadas</t>
    </r>
    <r>
      <rPr>
        <sz val="11"/>
        <rFont val="Calibri"/>
        <family val="2"/>
      </rPr>
      <t xml:space="preserve"> com pacientes oriundos da </t>
    </r>
    <r>
      <rPr>
        <b/>
        <sz val="11"/>
        <rFont val="Calibri"/>
        <family val="2"/>
      </rPr>
      <t>Regulação**</t>
    </r>
  </si>
  <si>
    <r>
      <rPr>
        <sz val="11"/>
        <rFont val="Calibri"/>
        <family val="2"/>
      </rPr>
      <t xml:space="preserve">Nº de Pacientes </t>
    </r>
    <r>
      <rPr>
        <u/>
        <sz val="11"/>
        <rFont val="Calibri"/>
        <family val="2"/>
      </rPr>
      <t>Faltantes</t>
    </r>
    <r>
      <rPr>
        <sz val="11"/>
        <rFont val="Calibri"/>
        <family val="2"/>
      </rPr>
      <t xml:space="preserve"> oriundos do agendamento da Regulação</t>
    </r>
  </si>
  <si>
    <t>3. Exames Internos - Internação</t>
  </si>
  <si>
    <t>Nº Exames</t>
  </si>
  <si>
    <t>Eletrocardiograma</t>
  </si>
  <si>
    <t>Exames Anatomopatológicos</t>
  </si>
  <si>
    <t>Exames de Colonoscopia</t>
  </si>
  <si>
    <t>Exames de Endoscopia</t>
  </si>
  <si>
    <t>Exames de Mamografia</t>
  </si>
  <si>
    <t>Exames de Radiologia</t>
  </si>
  <si>
    <t>Exames de Tomografias</t>
  </si>
  <si>
    <t>Exames de Ultrassom</t>
  </si>
  <si>
    <t>Exames Laboratoriais</t>
  </si>
  <si>
    <t xml:space="preserve">4. Exames Internos - Urgência e Emergência </t>
  </si>
  <si>
    <t>Planilha - Atividade Assistencial Hospitalar - Mensais</t>
  </si>
  <si>
    <t>1. Cirurgias</t>
  </si>
  <si>
    <t>a) Cirurgias de Média Complexidade</t>
  </si>
  <si>
    <t>b) Cirurgias de Alta Complexidade</t>
  </si>
  <si>
    <t>Nº Total de Cirurgias</t>
  </si>
  <si>
    <t>2. Atividade Cirúrgica</t>
  </si>
  <si>
    <t>Eletiva*</t>
  </si>
  <si>
    <t>Urgência</t>
  </si>
  <si>
    <t>*CG, PAG. 33, 21.1.1. O Hospital deverá destinar, no mínimo 15% (quinze por cento), do volume total de cirurgias realizadas no mês, aos pacientes eletivos, em lista de espera, encaminhados pela Central de Regulação de Internações Hospitalares (drive cirúrgico).</t>
  </si>
  <si>
    <t>2.2. Indicadores da Atividade Cirúrgica</t>
  </si>
  <si>
    <t>Taxa de Cirurgias Eletivas</t>
  </si>
  <si>
    <t>Taxa de Cirurgias de Urgência</t>
  </si>
  <si>
    <t>3. Salas Cirúrgicas</t>
  </si>
  <si>
    <t>N° Salas Cirúrgicas Operacionais/Dia</t>
  </si>
  <si>
    <t>4. Cirurgias  de Média Complexidade</t>
  </si>
  <si>
    <t>Código</t>
  </si>
  <si>
    <t>Nome do procedimento realizado</t>
  </si>
  <si>
    <t>Nº Total de Cirurgias  de Média Complexidade</t>
  </si>
  <si>
    <t>5. Cirurgias de Alta Complexidade</t>
  </si>
  <si>
    <t>Nº Total de Cirurgias Alta Complexidade</t>
  </si>
  <si>
    <t>6. Partos</t>
  </si>
  <si>
    <t>Nº Total de Cesáreas</t>
  </si>
  <si>
    <t>Nº Total de Partos Normais</t>
  </si>
  <si>
    <t>Nº Total de Partos (Cesáreas + Partos Normais)</t>
  </si>
  <si>
    <t>Planilha - Indicadores de Qualidade Mensais</t>
  </si>
  <si>
    <t>1. Apresentação de Autorização de Internação Hospitalar (AIH)</t>
  </si>
  <si>
    <t>Nº de AIH’s apresentadas à GMAPS</t>
  </si>
  <si>
    <t>Nº de Saídas Hospitalares informadas pelo Hospital no mês</t>
  </si>
  <si>
    <t>2. Controle de Infecção Hospitalar </t>
  </si>
  <si>
    <t xml:space="preserve"> N° Infecção Geral Hospitalar</t>
  </si>
  <si>
    <t>Taxa 
Infecção geral hospitalar</t>
  </si>
  <si>
    <t>2.1 Controle de Infecção Hospitalar - UTI Adulto</t>
  </si>
  <si>
    <t>N° Infecções Hospitalares</t>
  </si>
  <si>
    <t>N° Infecções Corrente Sang. em Pac. com CVC</t>
  </si>
  <si>
    <t>N° Pac./Dia com CVC</t>
  </si>
  <si>
    <t>Nº de Pneumonias em Pacientes com Vent. Mecânica</t>
  </si>
  <si>
    <t>Nº de Pac./Dia com Ventilação Mecânica</t>
  </si>
  <si>
    <t>2.3 Controle de Infecção Hospitalar - UTI Adulto</t>
  </si>
  <si>
    <t>DIH UTI</t>
  </si>
  <si>
    <t>DIIH CVC UTI</t>
  </si>
  <si>
    <t>Taxa VM UTI</t>
  </si>
  <si>
    <r>
      <rPr>
        <sz val="11"/>
        <color theme="1"/>
        <rFont val="Calibri"/>
        <family val="2"/>
        <scheme val="minor"/>
      </rPr>
      <t>CG, PAG.46, 2.7.3.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mensal,</t>
    </r>
    <r>
      <rPr>
        <sz val="11"/>
        <color theme="1"/>
        <rFont val="Calibri"/>
        <family val="2"/>
        <scheme val="minor"/>
      </rPr>
      <t xml:space="preserve"> elaborado pelo Serviço de Controle de Infecção Hospitalar da unidade, que contenha o valor dos indicadores mensais, a análise dos resultados com o comparativo de referência (utilizado pelo Serviço de Controle de Infecção Hospitalar do hospital)  e o plano de ação com as medidas de correção e controle, quando se fizerem necessárias. O Relatório deverá estar assinado pelo enfermeiro e médico infectologista do serviço.</t>
    </r>
  </si>
  <si>
    <t xml:space="preserve">3. Mortalidade </t>
  </si>
  <si>
    <t>3.3 Mortalidade Operatória por ASA </t>
  </si>
  <si>
    <t>Nº de Pacientes Operados</t>
  </si>
  <si>
    <t>Nº de Óbitos até 7 Dias</t>
  </si>
  <si>
    <t>Taxa de Mortalidade Operatória</t>
  </si>
  <si>
    <t>Nº de óbitos ≥ 24hs de internação no mês
(N° Óbitos Institucionais)</t>
  </si>
  <si>
    <t>Avaliação Anestésica ASA 1</t>
  </si>
  <si>
    <t>N° Óbitos até 7 Dias após Proc. Cirúrgico</t>
  </si>
  <si>
    <t>Avaliação Anestésica ASA 2</t>
  </si>
  <si>
    <t>N° Total Pacientes Operados</t>
  </si>
  <si>
    <t>Avaliação Anestésica ASA 3</t>
  </si>
  <si>
    <t>Nº Total de Saídas Hospitalares</t>
  </si>
  <si>
    <t>Avaliação Anestésica ASA 4</t>
  </si>
  <si>
    <t>Avaliação Anestésica ASA 5</t>
  </si>
  <si>
    <t>3.1 Indicadores Mortalidade Operatória  (TMO)</t>
  </si>
  <si>
    <t>Avaliação Anestésica ASA 6</t>
  </si>
  <si>
    <t>%</t>
  </si>
  <si>
    <r>
      <t xml:space="preserve">C.G., PAG. 47, 2.8.6. O cumprimento da meta está relacionado ao </t>
    </r>
    <r>
      <rPr>
        <b/>
        <sz val="11"/>
        <color theme="1"/>
        <rFont val="Calibri"/>
        <family val="2"/>
        <scheme val="minor"/>
      </rPr>
      <t xml:space="preserve">envio do relatório / ata mensal, </t>
    </r>
    <r>
      <rPr>
        <sz val="11"/>
        <color theme="1"/>
        <rFont val="Calibri"/>
        <family val="2"/>
        <scheme val="minor"/>
      </rPr>
      <t>elaborado pela Comissão de Óbito do Hospital, com a análise dos resultados da TMO e TM, com o comparativo de referência, devidamente assinado pelos seus membros.</t>
    </r>
  </si>
  <si>
    <t>3.2  Indicadores Mortalidade Institucional (TM)</t>
  </si>
  <si>
    <t>Taxa de Mortalidade Institucional</t>
  </si>
  <si>
    <t>3.4 Mortalidade Intra-Hospitalar Neonatal  </t>
  </si>
  <si>
    <t>Nascidos Vivos</t>
  </si>
  <si>
    <t>Apgar 1 min &gt;= 7</t>
  </si>
  <si>
    <t>Apgar 5 min &gt;= 7</t>
  </si>
  <si>
    <t>Nascidos Mortos</t>
  </si>
  <si>
    <t>Óbitos 0-6 dias</t>
  </si>
  <si>
    <t>Óbitos 7-28 dias</t>
  </si>
  <si>
    <t>Óbitos 29 dias e +</t>
  </si>
  <si>
    <t>&lt; 500g</t>
  </si>
  <si>
    <t>500 - 749g</t>
  </si>
  <si>
    <t>750 - 999g</t>
  </si>
  <si>
    <t>1000 - 1249g</t>
  </si>
  <si>
    <t>1250 - 1499g</t>
  </si>
  <si>
    <t>1500 - 1749g</t>
  </si>
  <si>
    <t>1750 - 1999g</t>
  </si>
  <si>
    <t>2000-2249g</t>
  </si>
  <si>
    <t>2250 - 2499g</t>
  </si>
  <si>
    <t>2500g e +</t>
  </si>
  <si>
    <t>4.  Indicadores de Segurança do Paciente</t>
  </si>
  <si>
    <t>Nº de notificações de LPP na UTI no mês</t>
  </si>
  <si>
    <t>Nº de pacientes em risco para LPP no mês</t>
  </si>
  <si>
    <r>
      <t>CG, PAG.47, 2.9.3.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/ ata mensal,</t>
    </r>
    <r>
      <rPr>
        <sz val="11"/>
        <color theme="1"/>
        <rFont val="Calibri"/>
        <family val="2"/>
        <scheme val="minor"/>
      </rPr>
      <t xml:space="preserve"> elaborado pelo Núcleo de Segurança do Paciente, com o resultado mensal do índice de LPP nas UTI’s e o comprovante da notificação do evento adverso, quando ocorrer, no sistema de monitoramento do Ministério da Saúde. O relatório deverá estar assinado pelo enfermeiro responsável e Diretor Geral do Hospital. Também deverá ser enviado o registro de treinamento trimestral dos protocolos de segurança do paciente e outros treinamentos relacionados.</t>
    </r>
  </si>
  <si>
    <t>Planilha - Indicadores de Qualidade Mensais - Pesquisa de Satisfação</t>
  </si>
  <si>
    <t>1. Pesquisa de Satisfação</t>
  </si>
  <si>
    <t>SETOR</t>
  </si>
  <si>
    <t>Nº total de pacientes atendidos no grupo</t>
  </si>
  <si>
    <t>Nº de pesquisas realizadas no grupo</t>
  </si>
  <si>
    <t>Pacientes ou acompanhantes em atendimento no serviço de urgência e emergência</t>
  </si>
  <si>
    <t>Pacientes ou acompanhantes de pacientes internados</t>
  </si>
  <si>
    <t>Pacientes ou acompanhantes de pacientes em atendimento ambulatorial ou SADT Externo</t>
  </si>
  <si>
    <t>Pacientes ou acompanhantes de pacientes após alta hospitalar</t>
  </si>
  <si>
    <t>2. Nível de Satisfação Geral do Hospital</t>
  </si>
  <si>
    <t>Setores</t>
  </si>
  <si>
    <t>Total de atendimentos</t>
  </si>
  <si>
    <t>Encantado</t>
  </si>
  <si>
    <t>Satisfeito</t>
  </si>
  <si>
    <t>Insatisfeito</t>
  </si>
  <si>
    <t>Decepcionado</t>
  </si>
  <si>
    <t>Quantitativo</t>
  </si>
  <si>
    <t>SATISFATORIO</t>
  </si>
  <si>
    <t>INSATISFATÓRIO</t>
  </si>
  <si>
    <t>Atendimento de Urgência e Emergência</t>
  </si>
  <si>
    <t>Setores de Internação - Paciente Internados</t>
  </si>
  <si>
    <t>Atendimento Ambulatorial ou SADT Externo</t>
  </si>
  <si>
    <t>Pacientes - Após Alta Hospitalar</t>
  </si>
  <si>
    <t>TOTAL - GERAL</t>
  </si>
  <si>
    <r>
      <t xml:space="preserve">CG, PAG. 45, 2.6.5. A meta para o nível de satisfação geral do Hospital (encantado e satisfeito) deverá ser igual ou maior que 90% no trimestre. A EXECUTORA </t>
    </r>
    <r>
      <rPr>
        <b/>
        <sz val="10"/>
        <color theme="1"/>
        <rFont val="Calibri"/>
        <family val="2"/>
      </rPr>
      <t>deverá encaminhar a pesquisa detalhada</t>
    </r>
    <r>
      <rPr>
        <sz val="10"/>
        <color theme="1"/>
        <rFont val="Calibri"/>
        <family val="2"/>
      </rPr>
      <t xml:space="preserve"> apresentando o nível de satisfação por área avaliada e o </t>
    </r>
    <r>
      <rPr>
        <b/>
        <sz val="10"/>
        <color theme="1"/>
        <rFont val="Calibri"/>
        <family val="2"/>
      </rPr>
      <t xml:space="preserve">quantitativo de Ouvidoras mensais </t>
    </r>
    <r>
      <rPr>
        <sz val="10"/>
        <color theme="1"/>
        <rFont val="Calibri"/>
        <family val="2"/>
      </rPr>
      <t>recebidas e estratificadas pelo tipo de manifestação.</t>
    </r>
  </si>
  <si>
    <t>Planilha - Indicadores de Recursos Humanos Mensais</t>
  </si>
  <si>
    <t> Nº de Funcionários  </t>
  </si>
  <si>
    <t> Nº de Funcionários  Administrativos</t>
  </si>
  <si>
    <t> Nº de Funcionários  Técnicos</t>
  </si>
  <si>
    <t>Especficação Cargo</t>
  </si>
  <si>
    <t>Nº Total Funcionários (Todos os Vínculos)</t>
  </si>
  <si>
    <t>Estatutários</t>
  </si>
  <si>
    <t>Celetista</t>
  </si>
  <si>
    <t>Cedido</t>
  </si>
  <si>
    <t xml:space="preserve">Analista de Recursos Humanos </t>
  </si>
  <si>
    <t xml:space="preserve">Assistente Social </t>
  </si>
  <si>
    <t xml:space="preserve">Analista Departamento Pessoal </t>
  </si>
  <si>
    <t xml:space="preserve">Auxiliar Farmácia             </t>
  </si>
  <si>
    <t>Rotatividade de Funcionários </t>
  </si>
  <si>
    <t>Analista Financeiro</t>
  </si>
  <si>
    <t xml:space="preserve">Biólogo      </t>
  </si>
  <si>
    <t>Assessora de Imprensa</t>
  </si>
  <si>
    <t>Farmacêutico</t>
  </si>
  <si>
    <t>N° Admissões</t>
  </si>
  <si>
    <t>Assistente Administrativo</t>
  </si>
  <si>
    <t>Farmacêutico Bioquímica</t>
  </si>
  <si>
    <t>N° Demissões</t>
  </si>
  <si>
    <t>Assistente Administrativo- Contabilidade</t>
  </si>
  <si>
    <t>Farmacêutico- Ocologia</t>
  </si>
  <si>
    <t>N° Total de Funcionários (CLT)</t>
  </si>
  <si>
    <t>Assistente administrativo -Manutenção</t>
  </si>
  <si>
    <t>Farmacêutica Clinica</t>
  </si>
  <si>
    <t>Assistente Administrativo-Agendamento</t>
  </si>
  <si>
    <t>Fisioterapeuta</t>
  </si>
  <si>
    <t xml:space="preserve">Médicos </t>
  </si>
  <si>
    <t>Assistente Administrativo-Almoxarifado</t>
  </si>
  <si>
    <t>Fonoaudióloga</t>
  </si>
  <si>
    <t>Assistente Administrativo-Faturamento</t>
  </si>
  <si>
    <t>Imagenologia (Técnico em Radiologia)</t>
  </si>
  <si>
    <t>N° Total de Médicos</t>
  </si>
  <si>
    <t>Assistente Administrativo-Recepção</t>
  </si>
  <si>
    <t>Nutricionista</t>
  </si>
  <si>
    <t>PJ</t>
  </si>
  <si>
    <t xml:space="preserve">Assistente de Compras    </t>
  </si>
  <si>
    <t>Nutricionista Clinica</t>
  </si>
  <si>
    <t>Assistente de Diretoria</t>
  </si>
  <si>
    <t>Psicóloga Hospitalar</t>
  </si>
  <si>
    <t>Celetistas</t>
  </si>
  <si>
    <t>Auxiliar Administrativo - NIR</t>
  </si>
  <si>
    <t>Psicologo</t>
  </si>
  <si>
    <t>Cedidos</t>
  </si>
  <si>
    <t>Auxiliar Administrativo- FIN-FARM-IMAG.</t>
  </si>
  <si>
    <t>CASO TENHA OUTROS INCLUIR ABAIXO:</t>
  </si>
  <si>
    <t>Auxiliar de Cozinha</t>
  </si>
  <si>
    <t xml:space="preserve">Auxiliar de Lavanderia   </t>
  </si>
  <si>
    <t xml:space="preserve">Auxiliar de Limpeza     </t>
  </si>
  <si>
    <t>Nº de Enfermeiros  </t>
  </si>
  <si>
    <t xml:space="preserve">Auxiliar de Limpeza-Jardinagem       </t>
  </si>
  <si>
    <t xml:space="preserve">Auxiliar de manutenção      </t>
  </si>
  <si>
    <t>N° Total Enfermeiros</t>
  </si>
  <si>
    <t xml:space="preserve">Camareira          </t>
  </si>
  <si>
    <t>Comprador</t>
  </si>
  <si>
    <t xml:space="preserve">Coordenador SCIH     </t>
  </si>
  <si>
    <t xml:space="preserve">Copeira Hospitalar </t>
  </si>
  <si>
    <t xml:space="preserve">Costureira        </t>
  </si>
  <si>
    <t xml:space="preserve">Cozinheira Hospitalar     </t>
  </si>
  <si>
    <t xml:space="preserve">Diretor Adjunto </t>
  </si>
  <si>
    <t>Nº de Profissionais Técnico de Enfermagem </t>
  </si>
  <si>
    <t xml:space="preserve">Diretor Apoio       </t>
  </si>
  <si>
    <t>Diretor Assistencial</t>
  </si>
  <si>
    <t>Nº Total Técnicos de Enfermagem</t>
  </si>
  <si>
    <t>Diretor Geral</t>
  </si>
  <si>
    <t>Eletromecânico</t>
  </si>
  <si>
    <t>Engenheiro Civil</t>
  </si>
  <si>
    <t>Gerente de Recursos Humanos</t>
  </si>
  <si>
    <t>Gerente de Serviços Ambulatoriais</t>
  </si>
  <si>
    <t>Gerente de Serviços Operacionais</t>
  </si>
  <si>
    <t>Gerente Financeiro</t>
  </si>
  <si>
    <t>Jovem Aprendiz- Aux. Adm.-Recp.-Imag.-Farm.-Fat.-Manut.</t>
  </si>
  <si>
    <t>Serviços Terceirizados  </t>
  </si>
  <si>
    <t>Marceneiro</t>
  </si>
  <si>
    <t>Motorista</t>
  </si>
  <si>
    <t>N° Total de Profissionais Terceirizados</t>
  </si>
  <si>
    <t>Operador de Caldeira</t>
  </si>
  <si>
    <t>Operador Est. Trat. Esgoto</t>
  </si>
  <si>
    <t>Estagiários</t>
  </si>
  <si>
    <t>Operador Sistema Climatização</t>
  </si>
  <si>
    <t>Recepcionista</t>
  </si>
  <si>
    <t>Especficação:</t>
  </si>
  <si>
    <t>Registrador de Cancer</t>
  </si>
  <si>
    <t>Supervisor Administrativo</t>
  </si>
  <si>
    <t>Técnico de Suporte e Monit. TI</t>
  </si>
  <si>
    <t>Técnico Informática</t>
  </si>
  <si>
    <t>Técnico Segurança no Trabalho</t>
  </si>
  <si>
    <t>Telefonista</t>
  </si>
  <si>
    <t>Vigia</t>
  </si>
  <si>
    <t>Planilha - Indicadores de Farmácia Mensais</t>
  </si>
  <si>
    <t>*Essa listagem deverá ser a curva A da farmácia do HRTGB</t>
  </si>
  <si>
    <t>Recurso financeiro na aquisição de medicamentos</t>
  </si>
  <si>
    <t>Aquisição de medicamentos da Curva A</t>
  </si>
  <si>
    <t>Valor R$</t>
  </si>
  <si>
    <t>Medicamento/Apresentação</t>
  </si>
  <si>
    <t>Nome Comercial</t>
  </si>
  <si>
    <t>Laboratório Fabricante</t>
  </si>
  <si>
    <t>Custo Unitário</t>
  </si>
  <si>
    <t>Recurso financeiro gasto com medicamentos não padronizados</t>
  </si>
  <si>
    <t>Recurso financeiro gasto com medicamentos de rotina:</t>
  </si>
  <si>
    <t>Quantidade de medicamentos adquiridos  (princípio ativo - PA)</t>
  </si>
  <si>
    <t>Nº medicamentos (PA)</t>
  </si>
  <si>
    <t>Medicamentos adquiridos não padronizados</t>
  </si>
  <si>
    <t>Medicamentos adquiridos padronizados</t>
  </si>
  <si>
    <t xml:space="preserve">Medicamentos (unidade) com prazo de validade vencido                                                 </t>
  </si>
  <si>
    <t>Considerar a somatória dos quantitativos de todos os medicamentos</t>
  </si>
  <si>
    <t>Nº medicamentos (UN)</t>
  </si>
  <si>
    <t>Medicamentos vencidos</t>
  </si>
  <si>
    <t>Medicamentos em estoque total</t>
  </si>
  <si>
    <t>Planilha - Indicadores de Materiais</t>
  </si>
  <si>
    <t>*Essa listagem deverá ser a curva A do almoxarifado do HRTGB</t>
  </si>
  <si>
    <t>Aquisição de materiais Técnico Hospitalares</t>
  </si>
  <si>
    <t xml:space="preserve">Preços de Aquisição de materiais hospitalares </t>
  </si>
  <si>
    <t>Material/Apresentação</t>
  </si>
  <si>
    <t>Lab. Fabricante</t>
  </si>
  <si>
    <t>Recurso financeiro gasto com materiais não padronizados</t>
  </si>
  <si>
    <t>Recurso financeiro gasto com materiais de rotina:</t>
  </si>
  <si>
    <t>Materiais Técnico Hospitalares (unidade) com prazo de validade vencido</t>
  </si>
  <si>
    <t>Considerar a somatória dos quantitativos de todos os materiais</t>
  </si>
  <si>
    <t>Nº materiais (UN)</t>
  </si>
  <si>
    <t>Materiais vencidos</t>
  </si>
  <si>
    <t>Materiais em estoque total</t>
  </si>
  <si>
    <t xml:space="preserve">Mat.  Hosp. adquiridos que não pertencem à padronização do hospital </t>
  </si>
  <si>
    <t>Nº materiais</t>
  </si>
  <si>
    <t>Materiais adquiridos não padronizados</t>
  </si>
  <si>
    <t>Materiais adquiridos  padronizados total</t>
  </si>
  <si>
    <t>Planilha - Financeira Mensal</t>
  </si>
  <si>
    <t>UNIDADE</t>
  </si>
  <si>
    <t>DESCRIÇÃO</t>
  </si>
  <si>
    <t>RECEITAS OPERACIONAIS</t>
  </si>
  <si>
    <t>R$</t>
  </si>
  <si>
    <t>Repasse Contrato de Gestão (Valor de custeio bruto)</t>
  </si>
  <si>
    <t>Repasse Contrato de Gestão - Retenção de Investimento (caso ocorra)</t>
  </si>
  <si>
    <t>Repasse Programas Especiais</t>
  </si>
  <si>
    <t>Desconto (Meta Não Atingida)</t>
  </si>
  <si>
    <t>Glosa de Recurso (Desconto)</t>
  </si>
  <si>
    <t>TOTAL REPASSES (Receita Líquida recebida da SES)</t>
  </si>
  <si>
    <t>Resultado de Aplicação Financeira</t>
  </si>
  <si>
    <t>Reembolso de Despesas</t>
  </si>
  <si>
    <t>Obtenção de Recursos Externos a SES</t>
  </si>
  <si>
    <t>Demais Receitas (Convênios)</t>
  </si>
  <si>
    <t>Receitas Extras</t>
  </si>
  <si>
    <t>Outras Receitas</t>
  </si>
  <si>
    <t>TOTAL OUTRAS RECEITAS</t>
  </si>
  <si>
    <t>TOTAL DE RECEITAS OPERACIONAIS</t>
  </si>
  <si>
    <t>DESPESAS OPERACIONAIS</t>
  </si>
  <si>
    <t>1. Pessoal</t>
  </si>
  <si>
    <t xml:space="preserve">  1.1. Ordenados (Não inclui férias, 13º e Rescisão)</t>
  </si>
  <si>
    <t xml:space="preserve">    1.1.1. Assistencial</t>
  </si>
  <si>
    <t xml:space="preserve">    1.1.2. Administrativo</t>
  </si>
  <si>
    <t xml:space="preserve">  1.2. INSS do Empregador</t>
  </si>
  <si>
    <t xml:space="preserve">  1.3. FGTS</t>
  </si>
  <si>
    <t xml:space="preserve">  1.4. PIS</t>
  </si>
  <si>
    <t xml:space="preserve">  1.5. Benefícios</t>
  </si>
  <si>
    <t xml:space="preserve">  1.6. Provisões (Férias) - Retenções</t>
  </si>
  <si>
    <t xml:space="preserve">  1.7. Provisões (13º sal) - Retenções</t>
  </si>
  <si>
    <t xml:space="preserve">  1.8. Provisões (Rescisões) - Retenções</t>
  </si>
  <si>
    <t xml:space="preserve">  1.9. Despesas Judiciais Trabalhistas</t>
  </si>
  <si>
    <t>2. Insumos Assistenciais</t>
  </si>
  <si>
    <t xml:space="preserve">  2.1. Materiais Descartáveis</t>
  </si>
  <si>
    <t xml:space="preserve">  2.2. Medicamentos</t>
  </si>
  <si>
    <t xml:space="preserve">  2.3. Dietas Industrializadas</t>
  </si>
  <si>
    <t xml:space="preserve">  2.4. Gases Medicinais</t>
  </si>
  <si>
    <t xml:space="preserve">  2.5. OPME (Orteses, Próteses e Materiais Especiais)</t>
  </si>
  <si>
    <t>3. Materiais/Consumos Diversos</t>
  </si>
  <si>
    <t xml:space="preserve">  3.1. Material de Higienização e Limpeza</t>
  </si>
  <si>
    <t xml:space="preserve">  3.2. Material/Gêneros Alimentícios</t>
  </si>
  <si>
    <t xml:space="preserve">  3.3. Material Expediente</t>
  </si>
  <si>
    <t xml:space="preserve">  3.4. Combustível</t>
  </si>
  <si>
    <t xml:space="preserve">  3.5. GLP</t>
  </si>
  <si>
    <t xml:space="preserve">  3.6. Material de Manutenção</t>
  </si>
  <si>
    <t xml:space="preserve">  3.7. Outras Despesas com Materiais Diversos</t>
  </si>
  <si>
    <t xml:space="preserve">  3.8 EPI</t>
  </si>
  <si>
    <t>4. Seguros/Tributos/Despesas Bancárias</t>
  </si>
  <si>
    <t xml:space="preserve">  4.1. Seguros (Imóvel e veículos)</t>
  </si>
  <si>
    <t xml:space="preserve">  4.2. Tributos (Impostos e Taxas)</t>
  </si>
  <si>
    <t xml:space="preserve">  4.3. Despesas Bancárias (Juros/Taxas)</t>
  </si>
  <si>
    <t>5. Gerais</t>
  </si>
  <si>
    <t xml:space="preserve">  5.1. Telefonia/Internet</t>
  </si>
  <si>
    <t xml:space="preserve">  5.2. Água</t>
  </si>
  <si>
    <t xml:space="preserve">  5.3. Energia Elétrica</t>
  </si>
  <si>
    <t xml:space="preserve">  5.4. Alugueis</t>
  </si>
  <si>
    <t xml:space="preserve">  5.5. Outras Despesas Gerais</t>
  </si>
  <si>
    <t>6. Serviços Terceirizados</t>
  </si>
  <si>
    <t xml:space="preserve">  6.1. Assistenciais</t>
  </si>
  <si>
    <t xml:space="preserve">    6.1.1. Pessoa Jurídica</t>
  </si>
  <si>
    <t xml:space="preserve">    6.1.2. Pessoa Física</t>
  </si>
  <si>
    <t xml:space="preserve">    6.1.3. Cooperativas</t>
  </si>
  <si>
    <t xml:space="preserve">    6.1.4. Encargos</t>
  </si>
  <si>
    <t xml:space="preserve">  6.2. Administrativos</t>
  </si>
  <si>
    <t xml:space="preserve">    6.2.1. Pessoa Jurídica</t>
  </si>
  <si>
    <t xml:space="preserve">    6.2.2. Pessoa Física</t>
  </si>
  <si>
    <t xml:space="preserve">    6.2.3. Encargos</t>
  </si>
  <si>
    <t xml:space="preserve">  6.3. Contratos de Manutenção</t>
  </si>
  <si>
    <t xml:space="preserve">    6.3.1. Pessoa Jurídica</t>
  </si>
  <si>
    <t xml:space="preserve">    6.3.2. Pessoa Física</t>
  </si>
  <si>
    <t>TOTAL DE DESPESAS OPERACIONAIS</t>
  </si>
  <si>
    <t>RESULTADO (DÉFICIT/SUPERÁVIT)</t>
  </si>
  <si>
    <t>7.Investimentos</t>
  </si>
  <si>
    <t xml:space="preserve">  7.1. Equipamentos</t>
  </si>
  <si>
    <t xml:space="preserve">  7.2. Móveis e utensílios</t>
  </si>
  <si>
    <t xml:space="preserve">  7.3. Obras e Construções</t>
  </si>
  <si>
    <t xml:space="preserve">  7.4. Veículos</t>
  </si>
  <si>
    <t>DISPONIBILIDADE DE RECURSOS</t>
  </si>
  <si>
    <t>SALDO INICIAL (1)</t>
  </si>
  <si>
    <t>DÉBITOS (2)</t>
  </si>
  <si>
    <t>CRÉDITOS (3)</t>
  </si>
  <si>
    <t>SALDO FINAL (4 = 1-2+3)</t>
  </si>
  <si>
    <t>CONTA CORRENTE</t>
  </si>
  <si>
    <t>DÉBITO - DEVOLUÇÃO DE EMPRÉSTIMOS (4)</t>
  </si>
  <si>
    <t>CRÉDITO - EMPRÉSTIMOS (5)</t>
  </si>
  <si>
    <t>SALDO FINAL (4 = 1-2+3-4+5)</t>
  </si>
  <si>
    <t>CONTA INVESTIMENTOS</t>
  </si>
  <si>
    <t>RENDIMENTO APLICAÇÕES (4)</t>
  </si>
  <si>
    <t>SALDO FINAL (5 = 1-2+3+4)</t>
  </si>
  <si>
    <t>SALDO DE RECURSOS DISPONÍVEIS</t>
  </si>
  <si>
    <t>FORNECEDORES</t>
  </si>
  <si>
    <t>Contas Vencidas no mês da prestação de contas</t>
  </si>
  <si>
    <t>Contas Vencidas em meses anteriores à prestação de contas</t>
  </si>
  <si>
    <t>Contas a Vencer no mês subsequente ao mês da prestação de contas</t>
  </si>
  <si>
    <t>Contas a Vencer nos meses posteriores ao mês subsequente à prestação de contas</t>
  </si>
  <si>
    <t>SALDO DE PROVISÕES</t>
  </si>
  <si>
    <t>PROVISÃO DO MÊS (2)  (1.6+1.7+1.8)</t>
  </si>
  <si>
    <t>FÉRIAS PAGAS (3)</t>
  </si>
  <si>
    <t>13º SALÁRIO PAGOS (4)</t>
  </si>
  <si>
    <t>RESCISÕES PAGAS (5)</t>
  </si>
  <si>
    <t>SALDO FINAL (6 = 1+2-3-4-5)</t>
  </si>
  <si>
    <t>% de Participação</t>
  </si>
  <si>
    <t>Nº de Cirurgias de Urgência</t>
  </si>
  <si>
    <t>Taxa de Cirurgias de Urgência por ASA</t>
  </si>
  <si>
    <t>OUTUBRO</t>
  </si>
  <si>
    <t>MUNICÍPIO, 15 DE NOVEMBRO DE 2025.</t>
  </si>
  <si>
    <t xml:space="preserve">Sem paciente no SISREG/agenda aberta </t>
  </si>
  <si>
    <t xml:space="preserve">Realizado agenda extra </t>
  </si>
  <si>
    <t>AVENTAL DESCARTAVEL MANGA LONGA 35G - PCT C/ 10 UNIDADES</t>
  </si>
  <si>
    <t>ALTERMED MATERIAL MEDICO HOSPITALAR LTDA</t>
  </si>
  <si>
    <t xml:space="preserve">BOMBA DE INFUSÃO ELASTOMERICA PORTATIL P/ TERAPIA DE INFUSÃO A CURTO E LONGO PRAZO CAPACIDADE P/ 270ML-5mL/hora- DESCARTÁVEL C/ POCHETE </t>
  </si>
  <si>
    <t>SAMTRONIC INDUSTRIA E COMERCIO LTDA</t>
  </si>
  <si>
    <t xml:space="preserve">CAMPO OPERATORIO ESTRELA 45X50 35G C/ FIO RADIOPACO - PCT C/50UN - NÃO ESTÉRIL </t>
  </si>
  <si>
    <t>CREMER</t>
  </si>
  <si>
    <t>CAPILAR - DIALISADOR P/ HEMODIALISE DE BAIXO FLUXO - SUPERFICIE EFETIVA (m²) 1.8 - HPS F8</t>
  </si>
  <si>
    <t>Equipo Bomba de Dieta Santronic   -   EQUIPO PARA BOMBA DE INFUSÃO SAMTRONIC ENTERAL S/FILTRO EI 0623 T000</t>
  </si>
  <si>
    <t>Equipo Bomba Normal Santronic  -  EQUIPO PARA BOMBA DE INFUSÃO SAMTRONIC S/FILTRO EI 0421 0000</t>
  </si>
  <si>
    <t>F.VICRYL 1 C/A J535H</t>
  </si>
  <si>
    <t>JOHNSON</t>
  </si>
  <si>
    <t>GAZE 10X10 13FIOS C/10UNID ESTERIL</t>
  </si>
  <si>
    <t>ABIRATERONA 250MG COMP</t>
  </si>
  <si>
    <t>GENÉRICO</t>
  </si>
  <si>
    <t>SUN FARMACEUTICA DO BRASIL LTDA</t>
  </si>
  <si>
    <t>ALBUMINA HUMANA 20% 50ML</t>
  </si>
  <si>
    <t>ALBUREX 20</t>
  </si>
  <si>
    <t>CSL BEHRING PRODUTOS FARMACEUTICOS</t>
  </si>
  <si>
    <t>ALTEplase 50MG 1 F/A+DIL. 50ML</t>
  </si>
  <si>
    <t>ACTILYSE</t>
  </si>
  <si>
    <t>BOEHRINGER INGELHEIM DO BRASIL QUIMICA E FARMACEUTICA LTDA.</t>
  </si>
  <si>
    <t>AMPICILINA 2G + SULBACTAM 1G AMP. ( IV / IM )</t>
  </si>
  <si>
    <t>GENERICO</t>
  </si>
  <si>
    <t>FRESENIUS KABI BRASIL LTDA.</t>
  </si>
  <si>
    <t>CeFAZolina 1G ( IV / IM ) AMP</t>
  </si>
  <si>
    <t>CEZOLIN</t>
  </si>
  <si>
    <t>INSTITUTO BIOCHIMICO INDUSTRIA FARMACEUTICA LTDA</t>
  </si>
  <si>
    <t>CETOPROFENO 100MG/100ML (PRONTO USO)</t>
  </si>
  <si>
    <t>AXIFLENNID</t>
  </si>
  <si>
    <t>HALEXISTAR INDUSTRIA FARMACEUTICA LTDA</t>
  </si>
  <si>
    <t>CONTRASTE IODADO NÃO-IÔNICO DE BAIXA OSMOLARIDADE EQUIVALENTE A 300mg/mL DE IODO - Frasco 100mL</t>
  </si>
  <si>
    <t>OMNIPAQUE</t>
  </si>
  <si>
    <t>GE HEALTHCARE DO BRASIL COMERCIO E SERVICOS PARA EQUIPAMENTOS MEDICO-HOSPITALARES LTDA</t>
  </si>
  <si>
    <t xml:space="preserve">DIETA ENTERAL ESPECIALIZADA PARA DM - HIPERCALORICA E HIPERPROTEICA 1.5 KCAL/ML + 0,075G DE PROTEINA/ML - 1000ML </t>
  </si>
  <si>
    <t>DIBEM 1,5KCAL HP</t>
  </si>
  <si>
    <t>DIETA ENTERAL PADRÃO HIPERCALORICA E HIPERPROTEICA  1.5 KCAL/ML + 0,075G DE PROTEINA/ML - 1000ML</t>
  </si>
  <si>
    <t>HP ENERGY</t>
  </si>
  <si>
    <t>ENOXAparina 40MG/0,4ML SER. ( IV / SC )</t>
  </si>
  <si>
    <t>HEPTRIZ</t>
  </si>
  <si>
    <t>VIATRIS FARMACEUTICA DO BRASIL LTDA</t>
  </si>
  <si>
    <t>FILGRASTIM 300MCG/0,5ml - SC SERINGA (PRONTO PRA USO)</t>
  </si>
  <si>
    <t>FIPRIMA</t>
  </si>
  <si>
    <t>EUROFARMA LABORATORIOS S.A. FILIAL 8</t>
  </si>
  <si>
    <t>FLUORURACILA  2500MG/50ML – EV</t>
  </si>
  <si>
    <t xml:space="preserve">FAULDFLUOR </t>
  </si>
  <si>
    <t>LIBBS FARMACEUTICA LTDA</t>
  </si>
  <si>
    <t>LEUCOVORIN (FOLINATO DE CÁLCIO) 300MG/30ML</t>
  </si>
  <si>
    <t>MEROPENEM 1G AMP. ( IV )</t>
  </si>
  <si>
    <t>METILprednisolona 125MG AMP. ( IV / IM )</t>
  </si>
  <si>
    <t>OCTREOTIDA 0,1MG/ML</t>
  </si>
  <si>
    <t>SANDOSTATIN</t>
  </si>
  <si>
    <t>NOVARTIS BIOCIENCIAS SA</t>
  </si>
  <si>
    <t>OMEPRAZOL 40MG FR. ( IV )</t>
  </si>
  <si>
    <t>BLAU FARMACEUTICA S.A</t>
  </si>
  <si>
    <t>PIPERACILINA 4G + TAZOBACTAM 0,5G AMP. ( IV )</t>
  </si>
  <si>
    <t>ROCUrônio 10MG/ML 5ML</t>
  </si>
  <si>
    <t>UNIREZ</t>
  </si>
  <si>
    <t>UNIAO QUIMICA FARMACEUTICA NACIONAL S A - FILIAL 9</t>
  </si>
  <si>
    <t>SOLUÇÃO FISIOLOGICA 0,9% 1000ML</t>
  </si>
  <si>
    <t>SOLUÇÃO FISIOLOGICA 0,9% 100ML</t>
  </si>
  <si>
    <t>EQUIPLEX INDUSTRIA FARMACEUTICA LTDA -</t>
  </si>
  <si>
    <t>SOLUÇÃO FISIOLOGICA 0,9% 500ML</t>
  </si>
  <si>
    <t>03.10.01.003-9 - PARTO NORMAL-Média Complexidade</t>
  </si>
  <si>
    <t>04.07.04.018-8 - LIBERAÇÃO DE ADERÊNCIAS INTESTINAIS-Média Complexidade</t>
  </si>
  <si>
    <t>04.07.04.025-0 - TRATAMENTO CIRÚRGICO DE PERITONITE-Média Complexidade</t>
  </si>
  <si>
    <t>04.07.02.003-9 -  APENDICECTOMIA-Média Complexidade</t>
  </si>
  <si>
    <t>04.11.01.003-4 - OPERACAO CESARIANA-Média Complexidade</t>
  </si>
  <si>
    <t>02.09.02.001-6 - CISTOSCOPIA E/OU URETEROSCOPIA E/OU URETROSCOPIA-Média</t>
  </si>
  <si>
    <t>04.06.02.057-4 - TRATAMENTO CIRÚRGICO DE VARIZES (UNILATERAL)-Média Complexidade</t>
  </si>
  <si>
    <t>04.15.04.003-5 - DEBRIDAMENTO DE ULCERA  / DE TECIDOS DESVITALIZADOS-Média</t>
  </si>
  <si>
    <t>04.01.02.005-3 - EXCISÃO E SUTURA DE LESAO NA PELE C/ PLÁSTICA EM Z OU ROTAÇÃO DE RETALHO-Média Complexidade</t>
  </si>
  <si>
    <t>02.01.01.026-7 - BIOPSIA DE LESAO DE PARTES MOLES (POR AGULHA / CEU ABERTO)-Média Complexidade</t>
  </si>
  <si>
    <t>04.08.01.018-5 - TRATAMENTO CIRURGICO DE LUXACAO / FRATURA-LUXACAO ACROMIO-CLAVICULAR-Média Complexidade</t>
  </si>
  <si>
    <t>04.08.02.040-7 - TRATAMENTO CIRÚRGICO DE FRATURA DA EXTREMIDADE / METÁFISE DISTAL DOS OSSOS DO ANTEBRAÇO-Média Complexidade</t>
  </si>
  <si>
    <t>04.07.03.003-4 - COLECISTECTOMIA  VIDEOLAPAROSCÓPICA-Média Complexidade</t>
  </si>
  <si>
    <t>04.06.02.062-0 - RETIRADA DE CATETER DE LONGA PERMANÊNCIA SEMI OU TOTALMENTE IMPLANTÁVEL-Média Complexidade</t>
  </si>
  <si>
    <t>04.07.04.016-1 - LAPAROTOMIA EXPLORADORA-Média Complexidade</t>
  </si>
  <si>
    <t>04.08.02.017-2 - REDUÇÃO INCRUENTA DE FRATURA / LESÃO FISARIA NO PUNHO-Média Complexidade</t>
  </si>
  <si>
    <t>04.08.05.049-7 - TRATAMENTO CIRÚRGICO DE FRATURA BIMALEOLAR /TRIMALEOLAR / DA FRATURA-LUXAÇÃO DO TORNOZELO-Média Complexidade</t>
  </si>
  <si>
    <t>04.08.05.057-8 - TRATAMENTO CIRÚRGICO DE FRATURA DO TORNOZELO UNIMALEOLAR-Média Complexidade</t>
  </si>
  <si>
    <t>04.10.01.007-3 - PLASTICA MAMÁRIA FEMININA NAO ESTETICA-Média Complexidade</t>
  </si>
  <si>
    <t>04.08.02.033-4 - TRATAMENTO CIRÚRGICO DE FRATURA / LESÃO FISARIA DA EXTREMIDADE PROXIMAL DO UMERO-Média Complexidade</t>
  </si>
  <si>
    <t>04.08.02.043-1 - TRATAMENTO CIRÚRGICO DE FRATURA DIAFISARIA ÚNICA DO RÁDIO / DA ULNA-Média Complexidade</t>
  </si>
  <si>
    <t>04.09.01.017-0 - INSTALAÇÃO ENDOSCÓPICA DE CATETER DUPLO J-	Média</t>
  </si>
  <si>
    <t>04.09.01.038-3 - RESSECCAO ENDOSCOPICA DE LESÃO VESICAL-Média</t>
  </si>
  <si>
    <t>04.11.01.004-2 - OPERACAO CESARIANA C/ LAQUEADURA TUBARIA-Média</t>
  </si>
  <si>
    <t>04.07.02.030-6 - JEJUNOSTOMIA / ILEOSTOMIA-Média Complexidade</t>
  </si>
  <si>
    <t>04.08.02.041-5 - TRATAMENTO CIRÚRGICO DE FRATURA DE EXTREMIDADES / METÁFISE PROXIMAL DOS OSSOS DO ANTEBRAÇO-Média Complexidade</t>
  </si>
  <si>
    <t>04.08.04.005-0 - ARTROPLASTIA PARCIAL DE QUADRIL-Média Complexidade</t>
  </si>
  <si>
    <t>04.08.05.055-1 - TRATAMENTO CIRÚRGICO DE FRATURA DO PLANALTO TIBIAL-	Média</t>
  </si>
  <si>
    <t>04.12.04.016-6 - TORACOSTOMIA COM DRENAGEM PLEURAL FECHADA-Média</t>
  </si>
  <si>
    <t>04.04.01.037-7 - TRAQUEOSTOMIA-Média Complexidade</t>
  </si>
  <si>
    <t>04.04.02.054-2 - REDUÇÃO CIRÚRGICA DE FRATURA DOS OSSOS PRÓPRIOS DO NARIZ-Média Complexidade</t>
  </si>
  <si>
    <t>04.07.02.018-7 - ENTEROANASTOMOSE (QUALQUER SEGMENTO)-Média</t>
  </si>
  <si>
    <t>04.07.04.003-0 - DRENAGEM DE HEMATOMA  / ABSCESSO PRE-PERITONEAL-Média</t>
  </si>
  <si>
    <t>04.08.05.001-2 - AMPUTACAO / DESARTICULACAO DE MEMBROS INFERIORES-Média</t>
  </si>
  <si>
    <t>04.08.06.004-2 -  AMPUTAÇÃO / DESARTICULAÇÃO DE DEDO-Média Complexidade</t>
  </si>
  <si>
    <t>04.10.01.011-1 - SETORECTOMIA / QUADRANTECTOMIA-Média Complexidade</t>
  </si>
  <si>
    <t>02.09.01.006-1 - VIDEOLAPAROSCOPIA-Média Complexidade</t>
  </si>
  <si>
    <t>04.07.02.006-3 -  COLECTOMIA PARCIAL (HEMICOLECTOMIA)-Média Complexidade</t>
  </si>
  <si>
    <t>04.07.02.017-9 - ENTERECTOMIA-Média Complexidade</t>
  </si>
  <si>
    <t>04.07.02.028-4 - HEMORROIDECTOMIA-	Média Complexidade</t>
  </si>
  <si>
    <t>04.07.04.012-9 - HERNIOPLASTIA UMBILICAL-Média Complexidade</t>
  </si>
  <si>
    <t>04.08.05.048-9 - TRATAMENTO CIRURGICO DE FRATURA / LESAO FISARIA PROXIMAL (COLO) DO FEMUR (SINTESE)-Média Complexidade</t>
  </si>
  <si>
    <t>04.08.05.050-0 - TRATAMENTO CIRÚRGICO DE FRATURA DA DIÁFISE DA TÍBIA-Média</t>
  </si>
  <si>
    <t>04.08.05.052-7 - TRATAMENTO CIRÚRGICO DE FRATURA DA PATELA POR FIXAÇÃO INTERNA-Média Complexidade</t>
  </si>
  <si>
    <t>04.08.05.063-2 - TRATAMENTO CIRÚRGICO DE FRATURA TRANSTROCANTERIANA-Média Complexidade</t>
  </si>
  <si>
    <t>04.11.02.001-3 - CURETAGEM POS-ABORTAMENTO / PUERPERAL-Média</t>
  </si>
  <si>
    <t>04.03.01.018-7 - REVISÃO DE DERIVAÇÃO VENTRICULAR PARA PERITÔNEO / ÁTRIO / PLEURA / RAQUE-Média Complexidade</t>
  </si>
  <si>
    <t>04.07.01.024-6 - RETIRADA DE CORPO ESTRANHO DO TUBO DIGESTIVO POR ENDOSCOPIA-Média Complexidade</t>
  </si>
  <si>
    <t xml:space="preserve"> 04.07.01.026-2 - TAMPONAMENTO DE LESÕES HEMORRÁGICAS DO APARELHO DIGESTIVO-Média Complexidade</t>
  </si>
  <si>
    <t>04.07.04.001-3 - DRENAGEM DE ABSCESSO PÉLVICO-Média Complexidade</t>
  </si>
  <si>
    <t>04.07.04.002-1 - DRENAGEM DE ABSCESSO SUBFRÊNICO-	Média Complexidade</t>
  </si>
  <si>
    <t>04.08.02.037-7 - TRATAMENTO CIRÚRGICO DE FRATURA / LESÃO FISARIA DOS METACARPIANOS-Média Complexidade</t>
  </si>
  <si>
    <t>04.08.02.054-7 - TRATAMENTO CIRÚRGICO DE LUXAÇÃO OU FRATURA-LUXAÇÃO DO COTOVELO-Média Complexidade</t>
  </si>
  <si>
    <t>04.08.04.019-0 - REDUÇÃO INCRUENTA DE LUXAÇÃO COXOFEMORAL TRAUMÁTICA / PÓS-ARTROPLASTIA-Média Complexidade</t>
  </si>
  <si>
    <t>04.08.05.021-7 - REDUCAO INCRUENTA DE FRATURA / LUXACAO / FRATURA-LUXACAO DO TORNOZELO-Média Complexidade</t>
  </si>
  <si>
    <t>04.08.05.022-5 - REDUCAO INCRUENTA DE FRATURA DIAFISARIA / LESAO FISARIA DISTAL DA TIBIA C/ OU S/ FRATURA DA FIBULA-Média Complexidade</t>
  </si>
  <si>
    <t>04.08.05.046-2 - TRATAMENTO CIRURGICO DE FRATURA / LESAO FISARIA DOS METATARSIANOS-Média Complexidade</t>
  </si>
  <si>
    <t xml:space="preserve"> 04.08.05.051-9 - TRATAMENTO CIRÚRGICO DE FRATURA DA DIÁFISE DO FÊMUR-Média Complexidade</t>
  </si>
  <si>
    <t>04.08.06.048-4 - TENORRAFIA ÚNICA EM TÚNEL OSTEO-FIBROSO-Média</t>
  </si>
  <si>
    <t>04.09.04.014-2 - ORQUIECTOMIA SUBCAPSULAR BILATERAL-Média Complexidade</t>
  </si>
  <si>
    <t>04.09.06.031-3 - LAQUEADURA TUBÁRIA NA MESMA INTERNAÇÃO DE PARTO NORMA-Média Complexidade</t>
  </si>
  <si>
    <t>04.12.05.017-0 - TORACOCENTESE/DRENAGEM DE PLEURA-Média Complexidade</t>
  </si>
  <si>
    <t>07.02.04.015-0 - CATETER VENOSO CENTRAL DUPLO LUMEN- Média Complexidade</t>
  </si>
  <si>
    <t>02.01.01.064-0 - PUNÇÃO P/ ESVAZIAMENTO-Média Complexidade</t>
  </si>
  <si>
    <t>04.01.01.005-8 - EXCISAO DE LESAO E/OU SUTURA DE FERIMENTO DA PELE ANEXOS E MUCOSA-Média Complexidade</t>
  </si>
  <si>
    <t>04.01.01.007-4 - EXERESE DE TUMOR DE PELE E ANEXOS / CISTO SEBACEO /LIPOMA-Média Complexidade</t>
  </si>
  <si>
    <t>04.02.01.004-3 TIREOIDECTOMIA TOTAL-Média Complexidade</t>
  </si>
  <si>
    <t>04.02.01.005-1 - TIREOIDECTOMIA TOTAL COM ESVAZIAMENTO GANGLIONAR-Média</t>
  </si>
  <si>
    <t>04.03.01.001-2 - CRANIOPLASTIA-Média Complexidade</t>
  </si>
  <si>
    <t>04.03.01.010-1 - DERIVAÇÃO VENTRICULAR PARA PERITÔNEO / ÁTRIO / PLEURA /RAQUE-Média Complexidade</t>
  </si>
  <si>
    <t>04.03.01.016-0 - RETIRADA DE DERIVAÇÃO VENTRICULAR PARA PERITONEO / ÁTRIO/ PLEURA / RAQUE-Média Complexidade</t>
  </si>
  <si>
    <t>04.04.01.001-6 - ADENOIDECTOMIA-Média Complexidade</t>
  </si>
  <si>
    <t>04.04.01.041-5 - TURBINECTOMIA-Média Complexidade</t>
  </si>
  <si>
    <t>04.04.01.048-2 - SEPTOPLASTIA PARA CORREÇÃO DE DESVIO-Média Complexidade</t>
  </si>
  <si>
    <t>04.04.01.051-2 - SINUSOTOMIA TRANSMAXILAR-Média Complexidade</t>
  </si>
  <si>
    <t>04.04.02.062-3 - RETIRADA DE MATERIAL DE SÍNTESE ÓSSEA / DENTÁRIA-Média</t>
  </si>
  <si>
    <t>04.06.02.016-7 - FASCIOTOMIA P/ DESCOMPRESSÃO-Média Complexidade</t>
  </si>
  <si>
    <t>04.06.02.019-1 - LINFADENECTOMIA PÉLVICA-Média Complexidade</t>
  </si>
  <si>
    <t>04.06.02.022-1 - LINFADENECTOMIA RADICAL AXILAR UNILATERAL-Média</t>
  </si>
  <si>
    <t>04.06.02.028-0 - LINFADENECTOMIA RETROPERITONIAL-Média Complexidade</t>
  </si>
  <si>
    <t>04.06.02.054-0 - TRATAMENTO CIRÚRGICO DE LESÕES VASCULARES TRAUMÁTICAS DO ABDÔMEN-Média Complexidade</t>
  </si>
  <si>
    <t>04.07.01.019-0 - GASTRORRAFIA-Média Complexidade</t>
  </si>
  <si>
    <t>04.07.02.004-7 - APENDICECTOMIA VIDEOLAPAROSCÓPICA-Média Complexidade</t>
  </si>
  <si>
    <t>04.07.02.010-1 - COLOSTOMIA -Média Complexidade</t>
  </si>
  <si>
    <t>04.07.02.015-2 - DRENAGEM DE HEMATOMA / ABCESSO RETRO-RETAL-Média</t>
  </si>
  <si>
    <t>04.07.02.020-9 - ENTEROTOMIA E/OU ENTERORRAFIA C/ SUTURA / RESSECÇÃO (QUALQUER SEGMENTO)-Média Complexidade</t>
  </si>
  <si>
    <t>04.07.04.006-4 - HERNIOPLASTIA EPIGASTRICA-Média Complexidade</t>
  </si>
  <si>
    <t>04.07.04.009-9 - HERNIOPLASTIA INGUINAL (BILATERAL)-Média Complexidade</t>
  </si>
  <si>
    <t>04.07.04.010-2 - HERNIOPLASTIA INGUINAL / CRURAL (UNILATERAL)-	Média</t>
  </si>
  <si>
    <t>04.07.04.023-4 - RESSECÇÃO DO EPIPLOM-Média Complexidade</t>
  </si>
  <si>
    <t>04.07.04.024-2 - RESSUTURA DE PAREDE ABDOMINAL (POR DEISCENCIA TOTAL /EVISCERAÇÃO)-Média Complexidade</t>
  </si>
  <si>
    <t>04.08.01.014-2 - REPARO DE ROTURA DO MANGUITO ROTADOR (INCLUI PROCEDIMENTOS DESCOMPRESSIVOS)-Média Complexidade</t>
  </si>
  <si>
    <t>04.08.02.001-6 - AMPUTAÇÃO / DESARTICULAÇÃO DE MÃO E PUNHO-	Média</t>
  </si>
  <si>
    <t>04.08.02.002-4 - AMPUTAÇÃO / DESARTICULAÇÃO DE MEMBROS SUPERIORES-Média</t>
  </si>
  <si>
    <t>04.08.02.012-1 - REALINHAMENTO DE MECANISMO EXTENSOR DOS DEDOS DA MÃO-Média Complexidade</t>
  </si>
  <si>
    <t>04.08.02.016-4 - REDUÇAO INCRUENTA DE FRATURA / LESÃO FISARIA DO EXTREMO PROXIMAL DO ÚMERO-Média Complexidade</t>
  </si>
  <si>
    <t>04.08.02.038-5 - TRATAMENTO CIRÚRGICO DE FRATURA / LESÃO FISARIA SUPRACONDILIANA DO ÚMERO-Média Complexidade</t>
  </si>
  <si>
    <t>04.08.02.042-3 - TRATAMENTO CIRÚRGICO DE FRATURA DIAFISARIA DE AMBOS OS OSSOS DO ANTEBRAÇO (C/ SINTESE)-Média Complexidade</t>
  </si>
  <si>
    <t>04.08.02.044-0 - TRATAMENTO CIRÚRGICO DE FRATURA LESÃO FISARIA DOS OSSOSDO ANTEBRAÇO-Média Complexidade</t>
  </si>
  <si>
    <t>04.08.05.054-3 - TRATAMENTO CIRÚRGICO DE FRATURA DO PILÃO TIBIAL-Média</t>
  </si>
  <si>
    <t>04.08.05.062-4 - TRATAMENTO CIRÚRGICO DE FRATURA SUPRACONDILEANA DO FÊMUR (METÁFISE DISTAL)-Média Complexidade</t>
  </si>
  <si>
    <t>04.08.05.065-9 - TRATAMENTO CIRÚRGICO DE HALUX VALGUS COM OSTEOTOMIA DO PRIMEIRO OSSO METATARSIANO-Média Complexidade</t>
  </si>
  <si>
    <t>04.08.05.068-3 - TRATAMENTO CIRÚRGICO DE LUXAÇÃO / FRATURA-LUXAÇÃO AO NÍVEL DO JOELHO-Média Complexidade</t>
  </si>
  <si>
    <t xml:space="preserve"> 04.08.05.069-1 - TRATAMENTO CIRÚRGICO DE LUXAÇÃO / FRATURA-LUXAÇÃO METATARSO-FALANGIANA / INTER-FALANGIANA-Média Complexidade</t>
  </si>
  <si>
    <t>04.08.05.071-3 - TRATAMENTO CIRÚRGICO DE LUXAÇÃO / FRATURA-LUXAÇÃO TARSO-METATARSICA-Média Complexidade</t>
  </si>
  <si>
    <t>04.08.06.047-6 - TENOPLASTIA OU ENXERTO DE TENDÃO UNICO-Média</t>
  </si>
  <si>
    <t>04.08.06.063-8 - TRATAMENTO CIRÚRGICO DE LUXAÇÃO / FRATURA-LUXAÇÃO METATARSO INTER-FALANGEANA-Média Complexidade</t>
  </si>
  <si>
    <t>04.09.04.009-6 - EXPLORACAO CIRURGICA DA BOLSA ESCROTAL-Média</t>
  </si>
  <si>
    <t>04.09.04.012-6 - ORQUIDOPEXIA BILATERAL-Média Complexidade</t>
  </si>
  <si>
    <t>04.09.05.008-3 - POSTECTOMIA-Média Complexidade</t>
  </si>
  <si>
    <t>04.09.06.001-1 - CERCLAGEM DE COLO DO UTERO-Média Complexidade</t>
  </si>
  <si>
    <t>04.09.06.011-9 - HISTERECTOMIA C/ ANEXECTOMIA (UNI / BILATERAL)-Média</t>
  </si>
  <si>
    <t>04.09.06.018-6 - LAQUEADURA TUBARIA-Média Complexidade</t>
  </si>
  <si>
    <t>04.09.06.023-2 - SALPINGECTOMIA UNI / BILATERAL-Média Complexidade</t>
  </si>
  <si>
    <t>04.10.01.005-7 - MASTECTOMIA RADICAL C/ LINFADENECTOMIA-Média</t>
  </si>
  <si>
    <t>04.10.01.012-0 - SETORECTOMIA / QUADRANTECTOMIA C/ ESVAZIAMENTO GANGLIONAR-Média Complexidade</t>
  </si>
  <si>
    <t>04.11.01.002-6 -OPERACAO CESARIANA EM GESTACAO DE ALTO RISCO-Média Complexidade</t>
  </si>
  <si>
    <t>04.12.03.011-0 - PLEURODESE-Média Complexidade</t>
  </si>
  <si>
    <t>04.13.01.004-0 - CURATIVO EM MEDIO QUEIMADO-Média Complexidade</t>
  </si>
  <si>
    <t>04.15.04.004-3 - DEBRIDAMENTO DE ULCERA / NECROSE-	Média Complexidade</t>
  </si>
  <si>
    <t>04.08.06.037-9 - RETIRADA DE PLACA E/OU PARAFUSOS - Média</t>
  </si>
  <si>
    <t>02.01.01.032-1 - BIOPSIA DE OSSO / CARTILAGEM DE MEMBRO INFERIOR (POR AGULHA / CEU ABERTO)- Média Complexidade</t>
  </si>
  <si>
    <t>02.04.05.005-7 - FISTULOGRAFIA - Média Complexidade</t>
  </si>
  <si>
    <t>04.01.01.003-1 - DRENAGEM DE ABSCESSO - Média Complexidade</t>
  </si>
  <si>
    <t>04.06.02.045-0 - REVASCULARIZAÇÃO POR PONTE / TROMBOENDARTERECTOMIA FEMURO-POPLÍTEA PROXIMAL - Média complexidade</t>
  </si>
  <si>
    <t>04.08.02.022-9 - REDUÇÃO INCRUENTA DE LUXAÇÃO / FRATURA-LUXAÇÃO DO COTOVELO-Média Complexidade</t>
  </si>
  <si>
    <t>04.16.08.003-0 - EXCISÃO E SUTURA DE LESÃO NA PELE COM PLASTICA EM Z OU ROTAÇÃO DE RETALHO EM ONCOLOGIA-Alta Complexidade</t>
  </si>
  <si>
    <t>04.06.02.007-8 - IMPLANTAÇÃO DE CATETER DE LONGA PERMANÊNCIA SEMI OU TOTALMENTE IMPLANTAVEL (PROCEDIMENTO PRINCIPAL)-Alta Complexidade</t>
  </si>
  <si>
    <t>04.18.01.004-8 - IMPLANTE DE CATETER DE LONGA PERMANÊNCIA P/ HEMODIALISE-Alta Complexidade</t>
  </si>
  <si>
    <t>04.18.02.003-5 - RETIRADA DE CATETER TIPO TENCKHOFF / SIMILAR DE LONGA PERMANÊNCIA-Alta Complexidade</t>
  </si>
  <si>
    <t>04.09.01.010-3 - COLOCAÇÃO PERCUTÂNEA DE CATETER PIELO-URETERO-VESICAL UNILATERAL.-Alta Complexidade</t>
  </si>
  <si>
    <t>04.16.02.024-0 - LINFADENECTOMIA SELETIVA GUIADA (LINFONODO SENTINELA) EM ONCOLOGIA-Alta Complexidade</t>
  </si>
  <si>
    <t>04.16.04.020-9 - LAPAROTOMIA EXPLORADORA COM RESSECÇÃO COMPLETA OU INCOMPLETA DO TUMOR EM ONCOLOGIA-Alta Complexidade</t>
  </si>
  <si>
    <t>04.16.12.002-4 - MASTECTOMIA RADICAL COM LINFADENECTOMIA AXILAR EM ONCOLOGIA-Alta Complexidade</t>
  </si>
  <si>
    <t>04.16.12.005-9 - SEGMENTECTOMIA/QUADRANTECTOMIA/SETORECTOMIA DE MAMA EM ONCOLOGIA-Alta Complexidade</t>
  </si>
  <si>
    <t>04.18.01.003-0 - CONFECCAO DE FISTULA ARTERIO-VENOSA P/ HEMODIALISE-	Alta</t>
  </si>
  <si>
    <t>05.03.04.008-8 - CAPTAÇÃO DE ÓRGÃO EFETIVAMENTE TRANSPLANTADO-Alta</t>
  </si>
  <si>
    <t>04.03.01.012-8 - MICROCIRURGIA CEREBRAL ENDOSCOPICA-Alta Complexidade</t>
  </si>
  <si>
    <t>04.03.03.004-8 - CRANIOTOMIA PARA RETIRADA DE TUMOR INTRACRANIANO-AltaComplexidade</t>
  </si>
  <si>
    <t>04.03.03.014-5 - MICROCIRURGIA PARA TUMOR INTRACRANIANO-Alta</t>
  </si>
  <si>
    <t>04.07.01.012-2 - GASTRECTOMIA COM OU SEM DESVIO DUODENAL-Alta</t>
  </si>
  <si>
    <t>04.08.02.006-7 - ARTROPLASTIA DE PUNHO-Alta Complexidade</t>
  </si>
  <si>
    <t>04.08.04.004-1 - ARTROPLASTIA DE QUADRIL (NÃO CONVENCIONAL)-Alta</t>
  </si>
  <si>
    <t>04.08.04.025-4 - TRATAMENTO CIRÚRGICO DE ASSOCIAÇÃO FRATURA / LUXAÇÃO /FRATURA-LUXAÇÃO / DISJUNÇÃO DO ANEL PÉLVICO-Alta Complexidade</t>
  </si>
  <si>
    <t>04.16.01.017-2 - RESSECÇÃO ENDOSCÓPICA DE TUMOR VESICAL EM ONCOLOGIA-Alta Complexidade</t>
  </si>
  <si>
    <t>04.16.01.021-0 - NEFRECTOMIA PARCIAL EM ONCOLOGIA-Alta Complexidade</t>
  </si>
  <si>
    <t>04.16.02.021-6 - LINFADENECTOMIA AXILAR UNILATERAL EM ONCOLOGIA-Alta</t>
  </si>
  <si>
    <t>04.16.02.022-4 - LINFADENECTOMIA RETROPERITONIAL EM ONCOLOGIA-Alta</t>
  </si>
  <si>
    <t>04.16.04.007-1 - GASTRECTOMIA TOTAL EM ONCOLOGIA-Alta Complexidade</t>
  </si>
  <si>
    <t>04.16.05.002-6 - COLECTOMIA PARCIAL (HEMICOLECTOMIA) EM ONCOLOGIA-Alta</t>
  </si>
  <si>
    <t>04.16.06.006-4 - HISTERECTOMIA TOTAL AMPLIADA EM ONCOLOGIA-Alta</t>
  </si>
  <si>
    <t>04.16.06.008-0 - TRAQUELECTOMIA RADICAL EM ONCOLOGIA-Alta Complexidade</t>
  </si>
  <si>
    <t>04.16.06.012-9 - LAPAROTOMIA PARA AVALIAÇÃO DE TUMOR DE OVÁRIO EM ONCOLOGIA-Alta Complexidade</t>
  </si>
  <si>
    <t>04.16.08.008-1 - RECONSTRUÇÃO COM RETALHO MIOCUTÂNEO (QUALQUER PARTE)EM ONCOLOGIA-Alta Complexidade</t>
  </si>
  <si>
    <t>04.16.12.003-2 - MASTECTOMIA SIMPLES EM ONCOLOGIA-Alta Complexidade</t>
  </si>
  <si>
    <t>04.18.01.006-4 - IMPLANTE DE CATETER DUPLO LUMEN P/HEMODIALISE-Alta</t>
  </si>
  <si>
    <t>Analista de TI</t>
  </si>
  <si>
    <t>Auxiliar Administrativo - ONCOLOGIA</t>
  </si>
  <si>
    <t>Gerente Assistencial</t>
  </si>
  <si>
    <t>Auxiliar Administrativo (agendamento)</t>
  </si>
  <si>
    <t>SUPERVISOR MANUTENÇÃO</t>
  </si>
  <si>
    <t>Assistente Administrativo- Financeiro</t>
  </si>
  <si>
    <t>AUXILIAR ADMINISTRATIVO(FAT)</t>
  </si>
  <si>
    <t>GERENTE DE SUPRIMENTOS</t>
  </si>
  <si>
    <t>SUPERVISORA SERV OPERACIONAIS</t>
  </si>
  <si>
    <t>AUXILIAR ADMINISTRATIVO(RH)</t>
  </si>
  <si>
    <t>Gerente Enfermagem</t>
  </si>
  <si>
    <t>BIOMÉDICO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</si>
</sst>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416]mmmm\-yy;@"/>
    <numFmt numFmtId="165" formatCode="_(* #,##0.00_);_(* \(#,##0.00\);_(* &quot;-&quot;??_);_(@_)"/>
    <numFmt numFmtId="166" formatCode="&quot;R$&quot;\ #,##0.00"/>
  </numFmts>
  <fonts count="4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indexed="8"/>
      <name val="Calibri"/>
      <family val="2"/>
    </font>
    <font>
      <sz val="11"/>
      <color rgb="FFFF0000"/>
      <name val="Arial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sz val="11"/>
      <color rgb="FFFF0000"/>
      <name val="Calibri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A"/>
      <name val="Calibri"/>
      <family val="2"/>
    </font>
    <font>
      <b/>
      <sz val="11"/>
      <color rgb="FF00000A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20"/>
      <color indexed="8"/>
      <name val="Calibri"/>
      <family val="2"/>
    </font>
    <font>
      <b/>
      <sz val="20"/>
      <name val="Calibri"/>
      <family val="2"/>
    </font>
    <font>
      <sz val="24"/>
      <color indexed="8"/>
      <name val="Calibri"/>
      <family val="2"/>
    </font>
    <font>
      <sz val="36"/>
      <color indexed="8"/>
      <name val="Calibri"/>
      <family val="2"/>
    </font>
    <font>
      <u/>
      <sz val="20"/>
      <color indexed="8"/>
      <name val="Calibri"/>
      <family val="2"/>
    </font>
    <font>
      <b/>
      <sz val="20"/>
      <color indexed="8"/>
      <name val="Calibri"/>
      <family val="2"/>
    </font>
    <font>
      <b/>
      <sz val="10"/>
      <color theme="1"/>
      <name val="Calibri"/>
      <family val="2"/>
    </font>
    <font>
      <u/>
      <sz val="11"/>
      <name val="Calibri"/>
      <family val="2"/>
    </font>
    <font>
      <b/>
      <sz val="11"/>
      <color rgb="FF000000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8"/>
      </top>
      <bottom style="thin">
        <color indexed="8"/>
      </bottom>
      <diagonal/>
    </border>
  </borders>
  <cellStyleXfs count="7">
    <xf numFmtId="0" fontId="0" fillId="0" borderId="0"/>
    <xf numFmtId="43" fontId="41" fillId="0" borderId="0" applyFont="0" applyFill="0" applyBorder="0" applyAlignment="0" applyProtection="0"/>
    <xf numFmtId="9" fontId="24" fillId="0" borderId="0" applyFont="0" applyFill="0" applyBorder="0" applyAlignment="0" applyProtection="0">
      <alignment vertical="center"/>
    </xf>
    <xf numFmtId="0" fontId="18" fillId="0" borderId="0"/>
    <xf numFmtId="9" fontId="41" fillId="0" borderId="0" applyFont="0" applyFill="0" applyBorder="0" applyAlignment="0" applyProtection="0"/>
    <xf numFmtId="0" fontId="18" fillId="16" borderId="47" applyNumberFormat="0" applyFont="0" applyAlignment="0" applyProtection="0"/>
    <xf numFmtId="43" fontId="18" fillId="0" borderId="0" applyFont="0" applyFill="0" applyBorder="0" applyAlignment="0" applyProtection="0"/>
  </cellStyleXfs>
  <cellXfs count="666">
    <xf numFmtId="0" fontId="0" fillId="0" borderId="0" xfId="0"/>
    <xf numFmtId="0" fontId="0" fillId="0" borderId="0" xfId="0" applyProtection="1">
      <protection locked="0"/>
    </xf>
    <xf numFmtId="0" fontId="0" fillId="0" borderId="3" xfId="0" applyBorder="1"/>
    <xf numFmtId="0" fontId="5" fillId="0" borderId="0" xfId="3" applyFont="1" applyAlignment="1" applyProtection="1">
      <alignment horizontal="center" vertical="center"/>
      <protection locked="0"/>
    </xf>
    <xf numFmtId="0" fontId="3" fillId="0" borderId="4" xfId="3" applyFont="1" applyBorder="1" applyAlignment="1" applyProtection="1">
      <alignment vertical="center"/>
      <protection locked="0"/>
    </xf>
    <xf numFmtId="164" fontId="3" fillId="0" borderId="4" xfId="1" applyNumberFormat="1" applyFont="1" applyBorder="1" applyAlignment="1" applyProtection="1">
      <alignment horizontal="center" vertical="center"/>
      <protection locked="0"/>
    </xf>
    <xf numFmtId="0" fontId="3" fillId="4" borderId="4" xfId="3" applyFont="1" applyFill="1" applyBorder="1" applyAlignment="1" applyProtection="1">
      <alignment vertical="center"/>
      <protection locked="0"/>
    </xf>
    <xf numFmtId="0" fontId="3" fillId="4" borderId="4" xfId="3" applyFont="1" applyFill="1" applyBorder="1" applyAlignment="1" applyProtection="1">
      <alignment horizontal="center" vertical="center"/>
      <protection locked="0"/>
    </xf>
    <xf numFmtId="0" fontId="5" fillId="0" borderId="4" xfId="3" applyFont="1" applyBorder="1" applyAlignment="1" applyProtection="1">
      <alignment horizontal="left" vertical="center"/>
      <protection locked="0"/>
    </xf>
    <xf numFmtId="165" fontId="5" fillId="0" borderId="4" xfId="1" applyNumberFormat="1" applyFont="1" applyBorder="1" applyAlignment="1" applyProtection="1">
      <alignment vertical="center"/>
      <protection locked="0"/>
    </xf>
    <xf numFmtId="0" fontId="3" fillId="2" borderId="4" xfId="3" applyFont="1" applyFill="1" applyBorder="1" applyAlignment="1" applyProtection="1">
      <alignment vertical="center"/>
      <protection locked="0"/>
    </xf>
    <xf numFmtId="165" fontId="3" fillId="2" borderId="4" xfId="1" applyNumberFormat="1" applyFont="1" applyFill="1" applyBorder="1" applyAlignment="1" applyProtection="1">
      <alignment vertical="center"/>
    </xf>
    <xf numFmtId="0" fontId="5" fillId="0" borderId="4" xfId="3" applyFont="1" applyBorder="1" applyAlignment="1" applyProtection="1">
      <alignment vertical="center"/>
      <protection locked="0"/>
    </xf>
    <xf numFmtId="0" fontId="3" fillId="5" borderId="4" xfId="3" applyFont="1" applyFill="1" applyBorder="1" applyAlignment="1" applyProtection="1">
      <alignment vertical="center"/>
      <protection locked="0"/>
    </xf>
    <xf numFmtId="165" fontId="3" fillId="5" borderId="4" xfId="1" applyNumberFormat="1" applyFont="1" applyFill="1" applyBorder="1" applyAlignment="1" applyProtection="1">
      <alignment vertical="center"/>
    </xf>
    <xf numFmtId="0" fontId="5" fillId="0" borderId="3" xfId="3" applyFont="1" applyBorder="1" applyAlignment="1" applyProtection="1">
      <alignment horizontal="left" vertical="center"/>
      <protection locked="0"/>
    </xf>
    <xf numFmtId="165" fontId="5" fillId="0" borderId="0" xfId="1" applyNumberFormat="1" applyFont="1" applyBorder="1" applyAlignment="1" applyProtection="1">
      <alignment vertical="center"/>
      <protection locked="0"/>
    </xf>
    <xf numFmtId="165" fontId="5" fillId="0" borderId="4" xfId="1" applyNumberFormat="1" applyFont="1" applyBorder="1" applyAlignment="1" applyProtection="1">
      <alignment horizontal="right" vertical="center"/>
      <protection locked="0"/>
    </xf>
    <xf numFmtId="165" fontId="3" fillId="4" borderId="4" xfId="1" applyNumberFormat="1" applyFont="1" applyFill="1" applyBorder="1" applyAlignment="1" applyProtection="1">
      <alignment vertical="center"/>
    </xf>
    <xf numFmtId="0" fontId="3" fillId="5" borderId="5" xfId="3" applyFont="1" applyFill="1" applyBorder="1" applyAlignment="1" applyProtection="1">
      <alignment vertical="center"/>
      <protection locked="0"/>
    </xf>
    <xf numFmtId="165" fontId="3" fillId="5" borderId="4" xfId="1" applyNumberFormat="1" applyFont="1" applyFill="1" applyBorder="1" applyAlignment="1" applyProtection="1">
      <alignment horizontal="center" vertical="center"/>
    </xf>
    <xf numFmtId="0" fontId="5" fillId="0" borderId="5" xfId="3" applyFont="1" applyBorder="1" applyAlignment="1" applyProtection="1">
      <alignment vertical="center"/>
      <protection locked="0"/>
    </xf>
    <xf numFmtId="0" fontId="5" fillId="0" borderId="0" xfId="3" applyFont="1" applyAlignment="1" applyProtection="1">
      <alignment vertical="center"/>
      <protection locked="0"/>
    </xf>
    <xf numFmtId="0" fontId="3" fillId="6" borderId="6" xfId="3" applyFont="1" applyFill="1" applyBorder="1" applyAlignment="1" applyProtection="1">
      <alignment vertical="center"/>
      <protection locked="0"/>
    </xf>
    <xf numFmtId="0" fontId="5" fillId="6" borderId="7" xfId="3" applyFont="1" applyFill="1" applyBorder="1" applyAlignment="1" applyProtection="1">
      <alignment vertical="center"/>
      <protection locked="0"/>
    </xf>
    <xf numFmtId="0" fontId="3" fillId="4" borderId="8" xfId="3" applyFont="1" applyFill="1" applyBorder="1" applyAlignment="1" applyProtection="1">
      <alignment vertical="center"/>
      <protection locked="0"/>
    </xf>
    <xf numFmtId="164" fontId="3" fillId="4" borderId="9" xfId="1" applyNumberFormat="1" applyFont="1" applyFill="1" applyBorder="1" applyAlignment="1" applyProtection="1">
      <alignment horizontal="center" vertical="center"/>
      <protection locked="0"/>
    </xf>
    <xf numFmtId="0" fontId="5" fillId="2" borderId="5" xfId="3" applyFont="1" applyFill="1" applyBorder="1" applyAlignment="1" applyProtection="1">
      <alignment vertical="center"/>
      <protection locked="0"/>
    </xf>
    <xf numFmtId="165" fontId="3" fillId="2" borderId="4" xfId="1" applyNumberFormat="1" applyFont="1" applyFill="1" applyBorder="1" applyAlignment="1" applyProtection="1">
      <alignment vertical="center"/>
      <protection locked="0"/>
    </xf>
    <xf numFmtId="0" fontId="3" fillId="4" borderId="5" xfId="3" applyFont="1" applyFill="1" applyBorder="1" applyAlignment="1" applyProtection="1">
      <alignment vertical="center"/>
      <protection locked="0"/>
    </xf>
    <xf numFmtId="0" fontId="5" fillId="0" borderId="3" xfId="3" applyFont="1" applyBorder="1" applyAlignment="1" applyProtection="1">
      <alignment vertical="center"/>
      <protection locked="0"/>
    </xf>
    <xf numFmtId="165" fontId="5" fillId="2" borderId="4" xfId="1" applyNumberFormat="1" applyFont="1" applyFill="1" applyBorder="1" applyAlignment="1" applyProtection="1">
      <alignment vertical="center"/>
      <protection locked="0"/>
    </xf>
    <xf numFmtId="0" fontId="5" fillId="4" borderId="5" xfId="3" applyFont="1" applyFill="1" applyBorder="1" applyAlignment="1" applyProtection="1">
      <alignment vertical="center"/>
      <protection locked="0"/>
    </xf>
    <xf numFmtId="165" fontId="5" fillId="4" borderId="4" xfId="3" applyNumberFormat="1" applyFont="1" applyFill="1" applyBorder="1" applyAlignment="1">
      <alignment vertical="center"/>
    </xf>
    <xf numFmtId="0" fontId="5" fillId="0" borderId="5" xfId="3" applyFont="1" applyBorder="1" applyAlignment="1" applyProtection="1">
      <alignment vertical="center" wrapText="1"/>
      <protection locked="0"/>
    </xf>
    <xf numFmtId="164" fontId="3" fillId="4" borderId="9" xfId="3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164" fontId="5" fillId="0" borderId="14" xfId="0" applyNumberFormat="1" applyFont="1" applyBorder="1" applyAlignment="1">
      <alignment horizontal="left" vertical="center"/>
    </xf>
    <xf numFmtId="0" fontId="3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0" fontId="8" fillId="0" borderId="0" xfId="0" applyFont="1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166" fontId="0" fillId="0" borderId="13" xfId="0" applyNumberFormat="1" applyBorder="1" applyAlignment="1" applyProtection="1">
      <alignment horizontal="center" vertical="center"/>
      <protection locked="0"/>
    </xf>
    <xf numFmtId="0" fontId="8" fillId="7" borderId="18" xfId="0" applyFont="1" applyFill="1" applyBorder="1" applyAlignment="1">
      <alignment vertical="center" wrapText="1"/>
    </xf>
    <xf numFmtId="0" fontId="9" fillId="0" borderId="4" xfId="0" applyFont="1" applyBorder="1" applyAlignment="1" applyProtection="1">
      <alignment horizontal="center"/>
      <protection locked="0"/>
    </xf>
    <xf numFmtId="166" fontId="9" fillId="0" borderId="19" xfId="6" applyNumberFormat="1" applyFont="1" applyBorder="1" applyAlignment="1" applyProtection="1">
      <alignment horizontal="center"/>
      <protection locked="0"/>
    </xf>
    <xf numFmtId="0" fontId="0" fillId="0" borderId="20" xfId="0" applyBorder="1" applyAlignment="1">
      <alignment vertical="center"/>
    </xf>
    <xf numFmtId="166" fontId="0" fillId="0" borderId="21" xfId="0" applyNumberFormat="1" applyBorder="1" applyAlignment="1" applyProtection="1">
      <alignment horizontal="center" vertical="center"/>
      <protection locked="0"/>
    </xf>
    <xf numFmtId="0" fontId="8" fillId="0" borderId="18" xfId="0" applyFont="1" applyBorder="1" applyAlignment="1">
      <alignment horizontal="left" vertical="center" wrapText="1"/>
    </xf>
    <xf numFmtId="3" fontId="0" fillId="0" borderId="13" xfId="0" applyNumberFormat="1" applyBorder="1" applyAlignment="1" applyProtection="1">
      <alignment horizontal="center" vertical="center"/>
      <protection locked="0"/>
    </xf>
    <xf numFmtId="3" fontId="0" fillId="0" borderId="21" xfId="0" applyNumberFormat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8" fillId="0" borderId="22" xfId="0" applyFont="1" applyBorder="1" applyAlignment="1">
      <alignment horizontal="left" vertical="center" wrapText="1"/>
    </xf>
    <xf numFmtId="0" fontId="5" fillId="0" borderId="23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2" fillId="0" borderId="3" xfId="0" applyFont="1" applyBorder="1" applyAlignment="1">
      <alignment horizontal="right" vertical="center"/>
    </xf>
    <xf numFmtId="49" fontId="10" fillId="0" borderId="25" xfId="0" applyNumberFormat="1" applyFont="1" applyBorder="1" applyAlignment="1">
      <alignment horizontal="left" vertical="center"/>
    </xf>
    <xf numFmtId="0" fontId="12" fillId="0" borderId="2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164" fontId="10" fillId="0" borderId="14" xfId="0" applyNumberFormat="1" applyFont="1" applyBorder="1" applyAlignment="1">
      <alignment horizontal="left" vertical="center"/>
    </xf>
    <xf numFmtId="0" fontId="10" fillId="0" borderId="1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0" fillId="8" borderId="18" xfId="0" applyFill="1" applyBorder="1" applyAlignment="1">
      <alignment vertical="center" wrapText="1"/>
    </xf>
    <xf numFmtId="0" fontId="0" fillId="0" borderId="18" xfId="0" applyBorder="1" applyAlignment="1">
      <alignment horizontal="left" vertical="center" wrapText="1"/>
    </xf>
    <xf numFmtId="0" fontId="10" fillId="0" borderId="4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 applyProtection="1">
      <alignment vertical="center"/>
      <protection locked="0"/>
    </xf>
    <xf numFmtId="0" fontId="10" fillId="0" borderId="19" xfId="0" applyFont="1" applyBorder="1" applyAlignment="1" applyProtection="1">
      <alignment vertical="center"/>
      <protection locked="0"/>
    </xf>
    <xf numFmtId="0" fontId="0" fillId="0" borderId="22" xfId="0" applyBorder="1" applyAlignment="1">
      <alignment horizontal="left" vertical="center" wrapText="1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4" fillId="0" borderId="0" xfId="0" applyFont="1" applyAlignment="1" applyProtection="1">
      <alignment wrapText="1"/>
      <protection locked="0"/>
    </xf>
    <xf numFmtId="0" fontId="14" fillId="0" borderId="0" xfId="0" applyFont="1" applyAlignment="1" applyProtection="1">
      <alignment horizontal="center" wrapText="1"/>
      <protection locked="0"/>
    </xf>
    <xf numFmtId="0" fontId="14" fillId="0" borderId="0" xfId="0" applyFont="1" applyAlignment="1" applyProtection="1">
      <alignment horizontal="right" wrapText="1"/>
      <protection locked="0"/>
    </xf>
    <xf numFmtId="0" fontId="14" fillId="0" borderId="10" xfId="0" applyFont="1" applyBorder="1" applyAlignment="1" applyProtection="1">
      <alignment horizontal="center" wrapText="1"/>
      <protection locked="0"/>
    </xf>
    <xf numFmtId="0" fontId="14" fillId="0" borderId="11" xfId="0" applyFont="1" applyBorder="1" applyAlignment="1" applyProtection="1">
      <alignment horizontal="center" wrapText="1"/>
      <protection locked="0"/>
    </xf>
    <xf numFmtId="0" fontId="14" fillId="0" borderId="11" xfId="0" applyFont="1" applyBorder="1" applyAlignment="1" applyProtection="1">
      <alignment horizontal="right" wrapText="1"/>
      <protection locked="0"/>
    </xf>
    <xf numFmtId="0" fontId="6" fillId="0" borderId="3" xfId="0" applyFont="1" applyBorder="1" applyAlignment="1" applyProtection="1">
      <alignment horizontal="right" wrapText="1"/>
      <protection locked="0"/>
    </xf>
    <xf numFmtId="0" fontId="14" fillId="0" borderId="0" xfId="0" applyFont="1" applyAlignment="1" applyProtection="1">
      <alignment horizontal="right" vertical="center" wrapText="1"/>
      <protection locked="0"/>
    </xf>
    <xf numFmtId="0" fontId="14" fillId="0" borderId="3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18" xfId="0" applyFont="1" applyBorder="1" applyAlignment="1" applyProtection="1">
      <alignment vertical="center" wrapText="1"/>
      <protection locked="0"/>
    </xf>
    <xf numFmtId="0" fontId="14" fillId="0" borderId="0" xfId="0" applyFont="1" applyAlignment="1" applyProtection="1">
      <alignment vertical="center" wrapText="1"/>
      <protection locked="0"/>
    </xf>
    <xf numFmtId="0" fontId="14" fillId="0" borderId="20" xfId="0" applyFont="1" applyBorder="1" applyAlignment="1">
      <alignment vertical="center" wrapText="1"/>
    </xf>
    <xf numFmtId="3" fontId="14" fillId="0" borderId="21" xfId="0" applyNumberFormat="1" applyFont="1" applyBorder="1" applyAlignment="1" applyProtection="1">
      <alignment horizontal="center" vertical="center"/>
      <protection locked="0"/>
    </xf>
    <xf numFmtId="0" fontId="14" fillId="0" borderId="4" xfId="0" applyFont="1" applyBorder="1" applyAlignment="1" applyProtection="1">
      <alignment horizontal="center" vertical="center" wrapText="1"/>
      <protection locked="0"/>
    </xf>
    <xf numFmtId="0" fontId="14" fillId="0" borderId="19" xfId="0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wrapText="1"/>
      <protection locked="0"/>
    </xf>
    <xf numFmtId="0" fontId="14" fillId="10" borderId="0" xfId="0" applyFont="1" applyFill="1" applyAlignment="1" applyProtection="1">
      <alignment horizontal="center" vertical="center" wrapText="1"/>
      <protection locked="0"/>
    </xf>
    <xf numFmtId="0" fontId="14" fillId="0" borderId="31" xfId="0" applyFont="1" applyBorder="1" applyAlignment="1">
      <alignment vertical="center" wrapText="1"/>
    </xf>
    <xf numFmtId="0" fontId="0" fillId="0" borderId="4" xfId="0" applyBorder="1" applyAlignment="1" applyProtection="1">
      <alignment horizontal="center" wrapText="1"/>
      <protection locked="0"/>
    </xf>
    <xf numFmtId="0" fontId="0" fillId="0" borderId="19" xfId="0" applyBorder="1" applyAlignment="1" applyProtection="1">
      <alignment horizontal="center" wrapText="1"/>
      <protection locked="0"/>
    </xf>
    <xf numFmtId="3" fontId="14" fillId="0" borderId="13" xfId="0" applyNumberFormat="1" applyFont="1" applyBorder="1" applyAlignment="1" applyProtection="1">
      <alignment horizontal="center" vertical="center"/>
      <protection locked="0"/>
    </xf>
    <xf numFmtId="0" fontId="14" fillId="0" borderId="20" xfId="0" applyFont="1" applyBorder="1" applyAlignment="1">
      <alignment vertical="center"/>
    </xf>
    <xf numFmtId="3" fontId="14" fillId="11" borderId="21" xfId="0" applyNumberFormat="1" applyFont="1" applyFill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vertical="center" wrapText="1"/>
      <protection locked="0"/>
    </xf>
    <xf numFmtId="3" fontId="14" fillId="0" borderId="0" xfId="0" applyNumberFormat="1" applyFont="1" applyAlignment="1" applyProtection="1">
      <alignment horizontal="center" vertical="center" wrapText="1"/>
      <protection locked="0"/>
    </xf>
    <xf numFmtId="0" fontId="14" fillId="0" borderId="10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3" fontId="14" fillId="10" borderId="2" xfId="0" applyNumberFormat="1" applyFont="1" applyFill="1" applyBorder="1" applyAlignment="1">
      <alignment horizontal="center" vertical="center"/>
    </xf>
    <xf numFmtId="0" fontId="14" fillId="0" borderId="13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>
      <alignment vertical="center" wrapText="1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14" fillId="0" borderId="21" xfId="0" applyFont="1" applyBorder="1" applyAlignment="1" applyProtection="1">
      <alignment horizontal="center" vertical="center"/>
      <protection locked="0"/>
    </xf>
    <xf numFmtId="0" fontId="14" fillId="0" borderId="13" xfId="0" applyFont="1" applyBorder="1" applyAlignment="1" applyProtection="1">
      <alignment wrapText="1"/>
      <protection locked="0"/>
    </xf>
    <xf numFmtId="0" fontId="14" fillId="0" borderId="4" xfId="0" applyFont="1" applyBorder="1" applyAlignment="1" applyProtection="1">
      <alignment horizontal="center" wrapText="1"/>
      <protection locked="0"/>
    </xf>
    <xf numFmtId="0" fontId="14" fillId="0" borderId="19" xfId="0" applyFont="1" applyBorder="1" applyAlignment="1" applyProtection="1">
      <alignment horizontal="center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14" fillId="0" borderId="3" xfId="0" applyFont="1" applyBorder="1" applyAlignment="1" applyProtection="1">
      <alignment horizontal="right" wrapText="1"/>
      <protection locked="0"/>
    </xf>
    <xf numFmtId="3" fontId="14" fillId="10" borderId="21" xfId="0" applyNumberFormat="1" applyFont="1" applyFill="1" applyBorder="1" applyAlignment="1">
      <alignment horizontal="center" vertical="center"/>
    </xf>
    <xf numFmtId="0" fontId="14" fillId="0" borderId="8" xfId="0" applyFont="1" applyBorder="1" applyAlignment="1">
      <alignment horizontal="left" vertical="center"/>
    </xf>
    <xf numFmtId="0" fontId="14" fillId="10" borderId="32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8" fillId="0" borderId="31" xfId="0" applyFont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14" fillId="0" borderId="11" xfId="0" applyFont="1" applyBorder="1" applyAlignment="1" applyProtection="1">
      <alignment wrapText="1"/>
      <protection locked="0"/>
    </xf>
    <xf numFmtId="0" fontId="14" fillId="0" borderId="12" xfId="0" applyFont="1" applyBorder="1" applyAlignment="1" applyProtection="1">
      <alignment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14" fillId="0" borderId="4" xfId="0" applyFont="1" applyBorder="1" applyAlignment="1" applyProtection="1">
      <alignment wrapText="1"/>
      <protection locked="0"/>
    </xf>
    <xf numFmtId="0" fontId="14" fillId="0" borderId="4" xfId="0" applyFont="1" applyBorder="1" applyAlignment="1" applyProtection="1">
      <alignment horizontal="right" wrapText="1"/>
      <protection locked="0"/>
    </xf>
    <xf numFmtId="0" fontId="6" fillId="10" borderId="4" xfId="0" applyFont="1" applyFill="1" applyBorder="1" applyAlignment="1">
      <alignment horizontal="center" vertical="center" wrapText="1"/>
    </xf>
    <xf numFmtId="0" fontId="14" fillId="0" borderId="34" xfId="0" applyFont="1" applyBorder="1" applyAlignment="1" applyProtection="1">
      <alignment horizontal="center" wrapText="1"/>
      <protection locked="0"/>
    </xf>
    <xf numFmtId="0" fontId="14" fillId="0" borderId="20" xfId="0" applyFont="1" applyBorder="1" applyAlignment="1" applyProtection="1">
      <alignment wrapText="1"/>
      <protection locked="0"/>
    </xf>
    <xf numFmtId="0" fontId="14" fillId="0" borderId="36" xfId="0" applyFont="1" applyBorder="1" applyAlignment="1" applyProtection="1">
      <alignment horizontal="center" wrapText="1"/>
      <protection locked="0"/>
    </xf>
    <xf numFmtId="0" fontId="14" fillId="0" borderId="36" xfId="0" applyFont="1" applyBorder="1" applyAlignment="1" applyProtection="1">
      <alignment horizontal="right" wrapText="1"/>
      <protection locked="0"/>
    </xf>
    <xf numFmtId="0" fontId="14" fillId="0" borderId="23" xfId="0" applyFont="1" applyBorder="1" applyAlignment="1" applyProtection="1">
      <alignment horizontal="center" wrapText="1"/>
      <protection locked="0"/>
    </xf>
    <xf numFmtId="0" fontId="6" fillId="10" borderId="23" xfId="0" applyFont="1" applyFill="1" applyBorder="1" applyAlignment="1">
      <alignment horizontal="center" wrapText="1"/>
    </xf>
    <xf numFmtId="0" fontId="14" fillId="0" borderId="36" xfId="0" applyFont="1" applyBorder="1" applyAlignment="1" applyProtection="1">
      <alignment wrapText="1"/>
      <protection locked="0"/>
    </xf>
    <xf numFmtId="0" fontId="14" fillId="0" borderId="21" xfId="0" applyFont="1" applyBorder="1" applyAlignment="1" applyProtection="1">
      <alignment wrapText="1"/>
      <protection locked="0"/>
    </xf>
    <xf numFmtId="0" fontId="14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right" vertical="center" wrapText="1"/>
    </xf>
    <xf numFmtId="0" fontId="14" fillId="0" borderId="0" xfId="0" applyFont="1" applyAlignment="1">
      <alignment horizontal="right" vertical="center"/>
    </xf>
    <xf numFmtId="0" fontId="6" fillId="0" borderId="3" xfId="0" applyFont="1" applyBorder="1" applyAlignment="1" applyProtection="1">
      <alignment horizontal="right" vertical="center"/>
      <protection locked="0"/>
    </xf>
    <xf numFmtId="0" fontId="14" fillId="0" borderId="0" xfId="0" applyFont="1" applyAlignment="1" applyProtection="1">
      <alignment horizontal="right" vertical="center"/>
      <protection locked="0"/>
    </xf>
    <xf numFmtId="164" fontId="14" fillId="0" borderId="0" xfId="0" applyNumberFormat="1" applyFont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3" fontId="14" fillId="0" borderId="0" xfId="0" applyNumberFormat="1" applyFont="1" applyAlignment="1">
      <alignment horizontal="right" vertical="center"/>
    </xf>
    <xf numFmtId="0" fontId="15" fillId="6" borderId="3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center" vertical="center" wrapText="1"/>
    </xf>
    <xf numFmtId="0" fontId="16" fillId="9" borderId="3" xfId="0" applyFont="1" applyFill="1" applyBorder="1" applyAlignment="1">
      <alignment vertical="center" wrapText="1"/>
    </xf>
    <xf numFmtId="0" fontId="16" fillId="11" borderId="0" xfId="0" applyFont="1" applyFill="1" applyAlignment="1" applyProtection="1">
      <alignment horizontal="center" vertical="center"/>
      <protection locked="0"/>
    </xf>
    <xf numFmtId="0" fontId="16" fillId="9" borderId="0" xfId="0" applyFont="1" applyFill="1" applyAlignment="1">
      <alignment horizontal="center" vertical="center"/>
    </xf>
    <xf numFmtId="0" fontId="16" fillId="12" borderId="0" xfId="0" applyFont="1" applyFill="1" applyAlignment="1">
      <alignment horizontal="center" vertical="center"/>
    </xf>
    <xf numFmtId="10" fontId="16" fillId="12" borderId="0" xfId="4" applyNumberFormat="1" applyFont="1" applyFill="1" applyBorder="1" applyAlignment="1">
      <alignment horizontal="center" vertical="center"/>
    </xf>
    <xf numFmtId="0" fontId="15" fillId="11" borderId="20" xfId="0" applyFont="1" applyFill="1" applyBorder="1" applyAlignment="1">
      <alignment horizontal="left" vertical="center"/>
    </xf>
    <xf numFmtId="0" fontId="15" fillId="6" borderId="13" xfId="0" applyFont="1" applyFill="1" applyBorder="1" applyAlignment="1">
      <alignment horizontal="center" vertical="center" wrapText="1"/>
    </xf>
    <xf numFmtId="10" fontId="16" fillId="12" borderId="13" xfId="4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 vertical="center"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7" fillId="0" borderId="3" xfId="0" applyFont="1" applyBorder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top" wrapText="1"/>
      <protection locked="0"/>
    </xf>
    <xf numFmtId="0" fontId="0" fillId="0" borderId="13" xfId="0" applyBorder="1" applyAlignment="1" applyProtection="1">
      <alignment horizontal="center" vertical="top" wrapText="1"/>
      <protection locked="0"/>
    </xf>
    <xf numFmtId="3" fontId="0" fillId="11" borderId="21" xfId="0" applyNumberForma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horizontal="right" vertical="center"/>
      <protection locked="0"/>
    </xf>
    <xf numFmtId="0" fontId="8" fillId="0" borderId="13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14" fillId="0" borderId="3" xfId="0" applyFont="1" applyBorder="1" applyAlignment="1" applyProtection="1">
      <alignment vertical="center"/>
      <protection locked="0"/>
    </xf>
    <xf numFmtId="0" fontId="14" fillId="0" borderId="3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3" fontId="14" fillId="0" borderId="6" xfId="0" applyNumberFormat="1" applyFont="1" applyBorder="1" applyAlignment="1" applyProtection="1">
      <alignment horizontal="center" vertical="center"/>
      <protection locked="0"/>
    </xf>
    <xf numFmtId="3" fontId="14" fillId="0" borderId="14" xfId="0" applyNumberFormat="1" applyFont="1" applyBorder="1" applyAlignment="1" applyProtection="1">
      <alignment horizontal="center" vertical="center"/>
      <protection locked="0"/>
    </xf>
    <xf numFmtId="3" fontId="14" fillId="0" borderId="30" xfId="0" applyNumberFormat="1" applyFont="1" applyBorder="1" applyAlignment="1" applyProtection="1">
      <alignment horizontal="center" vertical="center"/>
      <protection locked="0"/>
    </xf>
    <xf numFmtId="3" fontId="8" fillId="0" borderId="0" xfId="0" applyNumberFormat="1" applyFont="1" applyAlignment="1" applyProtection="1">
      <alignment horizontal="right" vertical="center"/>
      <protection locked="0"/>
    </xf>
    <xf numFmtId="3" fontId="8" fillId="0" borderId="13" xfId="0" applyNumberFormat="1" applyFont="1" applyBorder="1" applyAlignment="1" applyProtection="1">
      <alignment horizontal="right" vertical="center"/>
      <protection locked="0"/>
    </xf>
    <xf numFmtId="0" fontId="14" fillId="0" borderId="39" xfId="0" applyFont="1" applyBorder="1" applyAlignment="1" applyProtection="1">
      <alignment horizontal="center" vertical="center" wrapText="1"/>
      <protection locked="0"/>
    </xf>
    <xf numFmtId="0" fontId="14" fillId="0" borderId="25" xfId="0" applyFont="1" applyBorder="1" applyAlignment="1" applyProtection="1">
      <alignment horizontal="center" vertical="center" wrapText="1"/>
      <protection locked="0"/>
    </xf>
    <xf numFmtId="0" fontId="14" fillId="0" borderId="40" xfId="0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right" vertical="center"/>
      <protection locked="0"/>
    </xf>
    <xf numFmtId="2" fontId="14" fillId="10" borderId="39" xfId="0" applyNumberFormat="1" applyFont="1" applyFill="1" applyBorder="1" applyAlignment="1">
      <alignment horizontal="center" vertical="center" wrapText="1"/>
    </xf>
    <xf numFmtId="2" fontId="14" fillId="10" borderId="25" xfId="0" applyNumberFormat="1" applyFont="1" applyFill="1" applyBorder="1" applyAlignment="1">
      <alignment horizontal="center" vertical="center" wrapText="1"/>
    </xf>
    <xf numFmtId="0" fontId="8" fillId="0" borderId="11" xfId="0" applyFont="1" applyBorder="1" applyAlignment="1" applyProtection="1">
      <alignment horizontal="right"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 wrapText="1"/>
      <protection locked="0"/>
    </xf>
    <xf numFmtId="3" fontId="0" fillId="0" borderId="11" xfId="0" applyNumberFormat="1" applyBorder="1" applyAlignment="1" applyProtection="1">
      <alignment horizontal="center" vertical="center"/>
      <protection locked="0"/>
    </xf>
    <xf numFmtId="10" fontId="0" fillId="10" borderId="11" xfId="0" applyNumberFormat="1" applyFill="1" applyBorder="1" applyAlignment="1">
      <alignment horizontal="center" vertical="center"/>
    </xf>
    <xf numFmtId="0" fontId="0" fillId="0" borderId="11" xfId="0" applyBorder="1" applyAlignment="1" applyProtection="1">
      <alignment horizontal="center" vertical="center"/>
      <protection locked="0"/>
    </xf>
    <xf numFmtId="10" fontId="0" fillId="10" borderId="0" xfId="0" applyNumberFormat="1" applyFill="1" applyAlignment="1">
      <alignment horizontal="center" vertical="center"/>
    </xf>
    <xf numFmtId="3" fontId="0" fillId="11" borderId="13" xfId="0" applyNumberForma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3" fontId="0" fillId="11" borderId="21" xfId="0" applyNumberForma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3" fontId="0" fillId="0" borderId="36" xfId="0" applyNumberFormat="1" applyBorder="1" applyAlignment="1" applyProtection="1">
      <alignment horizontal="center" vertical="center"/>
      <protection locked="0"/>
    </xf>
    <xf numFmtId="0" fontId="18" fillId="13" borderId="36" xfId="0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3" fontId="0" fillId="10" borderId="26" xfId="0" applyNumberFormat="1" applyFill="1" applyBorder="1" applyAlignment="1">
      <alignment horizontal="center" vertical="center"/>
    </xf>
    <xf numFmtId="3" fontId="7" fillId="10" borderId="26" xfId="0" applyNumberFormat="1" applyFont="1" applyFill="1" applyBorder="1" applyAlignment="1">
      <alignment horizontal="center" vertical="center"/>
    </xf>
    <xf numFmtId="0" fontId="0" fillId="0" borderId="20" xfId="0" applyBorder="1" applyAlignment="1" applyProtection="1">
      <alignment vertical="center" wrapText="1"/>
      <protection locked="0"/>
    </xf>
    <xf numFmtId="10" fontId="0" fillId="10" borderId="21" xfId="0" applyNumberFormat="1" applyFill="1" applyBorder="1" applyAlignment="1">
      <alignment horizontal="center" vertical="center"/>
    </xf>
    <xf numFmtId="0" fontId="16" fillId="9" borderId="2" xfId="0" applyFont="1" applyFill="1" applyBorder="1" applyAlignment="1">
      <alignment horizontal="center" vertical="center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3" fontId="0" fillId="10" borderId="36" xfId="0" applyNumberFormat="1" applyFill="1" applyBorder="1" applyAlignment="1">
      <alignment horizontal="center" vertical="center"/>
    </xf>
    <xf numFmtId="3" fontId="0" fillId="10" borderId="21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9" fillId="0" borderId="0" xfId="0" applyFont="1"/>
    <xf numFmtId="0" fontId="0" fillId="0" borderId="0" xfId="0" applyAlignment="1" applyProtection="1">
      <alignment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10" fontId="0" fillId="10" borderId="12" xfId="0" applyNumberFormat="1" applyFill="1" applyBorder="1" applyAlignment="1">
      <alignment horizontal="center" vertical="center"/>
    </xf>
    <xf numFmtId="10" fontId="0" fillId="10" borderId="13" xfId="0" applyNumberFormat="1" applyFill="1" applyBorder="1" applyAlignment="1">
      <alignment horizontal="center" vertical="center"/>
    </xf>
    <xf numFmtId="0" fontId="18" fillId="13" borderId="21" xfId="0" applyFont="1" applyFill="1" applyBorder="1" applyAlignment="1">
      <alignment horizontal="center" vertical="center" wrapText="1"/>
    </xf>
    <xf numFmtId="10" fontId="0" fillId="10" borderId="2" xfId="0" applyNumberFormat="1" applyFill="1" applyBorder="1" applyAlignment="1">
      <alignment horizontal="center" vertical="center"/>
    </xf>
    <xf numFmtId="0" fontId="8" fillId="0" borderId="21" xfId="0" applyFont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vertical="center" wrapText="1"/>
      <protection locked="0"/>
    </xf>
    <xf numFmtId="0" fontId="9" fillId="0" borderId="3" xfId="0" applyFont="1" applyBorder="1" applyAlignment="1" applyProtection="1">
      <alignment vertical="center"/>
      <protection locked="0"/>
    </xf>
    <xf numFmtId="0" fontId="20" fillId="0" borderId="3" xfId="0" applyFont="1" applyBorder="1" applyAlignment="1" applyProtection="1">
      <alignment horizontal="right" vertical="center"/>
      <protection locked="0"/>
    </xf>
    <xf numFmtId="164" fontId="9" fillId="0" borderId="0" xfId="0" applyNumberFormat="1" applyFont="1" applyAlignment="1" applyProtection="1">
      <alignment horizontal="left" vertical="center"/>
      <protection locked="0"/>
    </xf>
    <xf numFmtId="0" fontId="16" fillId="0" borderId="32" xfId="0" applyFont="1" applyBorder="1" applyAlignment="1">
      <alignment horizontal="center"/>
    </xf>
    <xf numFmtId="0" fontId="16" fillId="11" borderId="13" xfId="0" applyFont="1" applyFill="1" applyBorder="1" applyAlignment="1">
      <alignment horizontal="center"/>
    </xf>
    <xf numFmtId="0" fontId="15" fillId="14" borderId="21" xfId="0" applyFont="1" applyFill="1" applyBorder="1" applyAlignment="1">
      <alignment horizontal="center"/>
    </xf>
    <xf numFmtId="0" fontId="9" fillId="0" borderId="3" xfId="0" applyFont="1" applyBorder="1" applyAlignment="1" applyProtection="1">
      <alignment horizontal="left" vertical="top" wrapText="1"/>
      <protection locked="0"/>
    </xf>
    <xf numFmtId="0" fontId="9" fillId="0" borderId="0" xfId="0" applyFont="1" applyAlignment="1" applyProtection="1">
      <alignment horizontal="left" vertical="top" wrapText="1"/>
      <protection locked="0"/>
    </xf>
    <xf numFmtId="0" fontId="18" fillId="0" borderId="21" xfId="0" applyFont="1" applyBorder="1" applyAlignment="1">
      <alignment horizontal="center" vertical="center" wrapText="1"/>
    </xf>
    <xf numFmtId="0" fontId="18" fillId="9" borderId="13" xfId="0" applyFont="1" applyFill="1" applyBorder="1" applyAlignment="1">
      <alignment horizontal="center" vertical="center"/>
    </xf>
    <xf numFmtId="0" fontId="21" fillId="15" borderId="21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left" vertical="top"/>
    </xf>
    <xf numFmtId="0" fontId="18" fillId="0" borderId="0" xfId="0" applyFont="1" applyAlignment="1">
      <alignment vertical="center"/>
    </xf>
    <xf numFmtId="0" fontId="9" fillId="0" borderId="13" xfId="0" applyFont="1" applyBorder="1" applyAlignment="1">
      <alignment horizontal="center" vertical="center"/>
    </xf>
    <xf numFmtId="10" fontId="20" fillId="10" borderId="13" xfId="0" applyNumberFormat="1" applyFont="1" applyFill="1" applyBorder="1" applyAlignment="1" applyProtection="1">
      <alignment horizontal="center" vertical="center" wrapText="1"/>
      <protection locked="0"/>
    </xf>
    <xf numFmtId="10" fontId="20" fillId="10" borderId="2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8" fillId="0" borderId="2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5" fillId="0" borderId="3" xfId="0" applyFont="1" applyBorder="1" applyAlignment="1" applyProtection="1">
      <alignment vertical="center"/>
      <protection locked="0"/>
    </xf>
    <xf numFmtId="0" fontId="21" fillId="0" borderId="0" xfId="0" applyFont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 applyProtection="1">
      <alignment horizontal="center" vertical="center"/>
      <protection locked="0"/>
    </xf>
    <xf numFmtId="0" fontId="16" fillId="0" borderId="13" xfId="0" applyFont="1" applyBorder="1" applyAlignment="1" applyProtection="1">
      <alignment horizontal="center" vertical="center"/>
      <protection locked="0"/>
    </xf>
    <xf numFmtId="0" fontId="24" fillId="9" borderId="3" xfId="0" applyFont="1" applyFill="1" applyBorder="1" applyAlignment="1">
      <alignment vertical="center"/>
    </xf>
    <xf numFmtId="0" fontId="24" fillId="9" borderId="2" xfId="0" applyFont="1" applyFill="1" applyBorder="1" applyAlignment="1">
      <alignment horizontal="center" vertical="center"/>
    </xf>
    <xf numFmtId="3" fontId="24" fillId="9" borderId="13" xfId="0" applyNumberFormat="1" applyFont="1" applyFill="1" applyBorder="1" applyAlignment="1" applyProtection="1">
      <alignment horizontal="center" vertical="center"/>
      <protection locked="0"/>
    </xf>
    <xf numFmtId="0" fontId="24" fillId="9" borderId="20" xfId="0" applyFont="1" applyFill="1" applyBorder="1" applyAlignment="1">
      <alignment vertical="center" wrapText="1"/>
    </xf>
    <xf numFmtId="3" fontId="24" fillId="10" borderId="21" xfId="0" applyNumberFormat="1" applyFont="1" applyFill="1" applyBorder="1" applyAlignment="1">
      <alignment horizontal="center" vertical="center"/>
    </xf>
    <xf numFmtId="0" fontId="20" fillId="0" borderId="0" xfId="0" applyFont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vertical="center"/>
      <protection locked="0"/>
    </xf>
    <xf numFmtId="0" fontId="20" fillId="0" borderId="8" xfId="0" applyFont="1" applyBorder="1" applyAlignment="1" applyProtection="1">
      <alignment horizontal="center" vertical="center"/>
      <protection locked="0"/>
    </xf>
    <xf numFmtId="0" fontId="25" fillId="0" borderId="25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16" fillId="0" borderId="3" xfId="0" applyFont="1" applyBorder="1"/>
    <xf numFmtId="0" fontId="9" fillId="12" borderId="13" xfId="0" applyFont="1" applyFill="1" applyBorder="1" applyAlignment="1" applyProtection="1">
      <alignment horizontal="center" vertical="center"/>
      <protection locked="0"/>
    </xf>
    <xf numFmtId="0" fontId="20" fillId="0" borderId="20" xfId="0" applyFont="1" applyBorder="1" applyAlignment="1" applyProtection="1">
      <alignment horizontal="left" vertical="center" wrapText="1"/>
      <protection locked="0"/>
    </xf>
    <xf numFmtId="0" fontId="20" fillId="10" borderId="36" xfId="0" applyFont="1" applyFill="1" applyBorder="1" applyAlignment="1">
      <alignment horizontal="center" vertical="center" wrapText="1"/>
    </xf>
    <xf numFmtId="0" fontId="20" fillId="10" borderId="21" xfId="0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horizontal="justify" vertical="top"/>
      <protection locked="0"/>
    </xf>
    <xf numFmtId="0" fontId="18" fillId="9" borderId="0" xfId="0" applyFont="1" applyFill="1" applyAlignment="1" applyProtection="1">
      <alignment horizontal="center" vertical="center" wrapText="1"/>
      <protection locked="0"/>
    </xf>
    <xf numFmtId="3" fontId="9" fillId="15" borderId="13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vertical="center" wrapText="1"/>
      <protection locked="0"/>
    </xf>
    <xf numFmtId="0" fontId="16" fillId="0" borderId="0" xfId="0" applyFont="1" applyAlignment="1" applyProtection="1">
      <alignment vertical="center"/>
      <protection locked="0"/>
    </xf>
    <xf numFmtId="0" fontId="15" fillId="0" borderId="21" xfId="0" applyFont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vertical="center"/>
      <protection locked="0"/>
    </xf>
    <xf numFmtId="0" fontId="16" fillId="0" borderId="13" xfId="0" applyFont="1" applyBorder="1" applyAlignment="1" applyProtection="1">
      <alignment horizontal="center" vertical="center" wrapText="1"/>
      <protection locked="0"/>
    </xf>
    <xf numFmtId="0" fontId="22" fillId="0" borderId="0" xfId="0" applyFont="1" applyAlignment="1" applyProtection="1">
      <alignment vertical="center"/>
      <protection locked="0"/>
    </xf>
    <xf numFmtId="3" fontId="16" fillId="0" borderId="13" xfId="0" applyNumberFormat="1" applyFont="1" applyBorder="1" applyAlignment="1">
      <alignment horizontal="center" vertical="center" wrapText="1"/>
    </xf>
    <xf numFmtId="0" fontId="16" fillId="0" borderId="42" xfId="0" applyFont="1" applyBorder="1" applyAlignment="1" applyProtection="1">
      <alignment vertical="center"/>
      <protection locked="0"/>
    </xf>
    <xf numFmtId="0" fontId="16" fillId="0" borderId="43" xfId="0" applyFont="1" applyBorder="1" applyAlignment="1" applyProtection="1">
      <alignment vertical="center"/>
      <protection locked="0"/>
    </xf>
    <xf numFmtId="0" fontId="16" fillId="0" borderId="44" xfId="0" applyFont="1" applyBorder="1" applyAlignment="1" applyProtection="1">
      <alignment horizontal="center" vertical="center"/>
      <protection locked="0"/>
    </xf>
    <xf numFmtId="0" fontId="15" fillId="0" borderId="20" xfId="0" applyFont="1" applyBorder="1" applyAlignment="1" applyProtection="1">
      <alignment horizontal="left" vertical="center" wrapText="1"/>
      <protection locked="0"/>
    </xf>
    <xf numFmtId="0" fontId="16" fillId="0" borderId="36" xfId="0" applyFont="1" applyBorder="1" applyAlignment="1" applyProtection="1">
      <alignment vertical="center"/>
      <protection locked="0"/>
    </xf>
    <xf numFmtId="0" fontId="15" fillId="10" borderId="21" xfId="0" applyFont="1" applyFill="1" applyBorder="1" applyAlignment="1">
      <alignment horizontal="center" vertical="center" wrapText="1"/>
    </xf>
    <xf numFmtId="0" fontId="16" fillId="0" borderId="13" xfId="0" applyFont="1" applyBorder="1" applyAlignment="1" applyProtection="1">
      <alignment vertical="center"/>
      <protection locked="0"/>
    </xf>
    <xf numFmtId="0" fontId="16" fillId="0" borderId="0" xfId="0" applyFont="1" applyAlignment="1" applyProtection="1">
      <alignment horizontal="right" vertical="center" wrapText="1"/>
      <protection locked="0"/>
    </xf>
    <xf numFmtId="0" fontId="26" fillId="0" borderId="0" xfId="0" applyFont="1" applyAlignment="1">
      <alignment horizontal="center" wrapText="1"/>
    </xf>
    <xf numFmtId="49" fontId="9" fillId="0" borderId="25" xfId="0" applyNumberFormat="1" applyFont="1" applyBorder="1" applyAlignment="1" applyProtection="1">
      <alignment vertical="center"/>
      <protection locked="0"/>
    </xf>
    <xf numFmtId="49" fontId="9" fillId="0" borderId="0" xfId="0" applyNumberFormat="1" applyFont="1" applyAlignment="1" applyProtection="1">
      <alignment vertical="center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9" fillId="0" borderId="27" xfId="0" applyFont="1" applyBorder="1" applyAlignment="1" applyProtection="1">
      <alignment horizontal="center" vertical="center" wrapText="1"/>
      <protection locked="0"/>
    </xf>
    <xf numFmtId="0" fontId="9" fillId="0" borderId="28" xfId="0" applyFont="1" applyBorder="1" applyAlignment="1" applyProtection="1">
      <alignment horizontal="center" vertical="center" wrapText="1"/>
      <protection locked="0"/>
    </xf>
    <xf numFmtId="0" fontId="20" fillId="0" borderId="29" xfId="0" applyFont="1" applyBorder="1" applyAlignment="1" applyProtection="1">
      <alignment horizontal="center" vertical="center" wrapText="1"/>
      <protection locked="0"/>
    </xf>
    <xf numFmtId="3" fontId="20" fillId="10" borderId="13" xfId="0" applyNumberFormat="1" applyFont="1" applyFill="1" applyBorder="1" applyAlignment="1">
      <alignment horizontal="center" vertical="center" wrapText="1"/>
    </xf>
    <xf numFmtId="3" fontId="9" fillId="0" borderId="0" xfId="0" applyNumberFormat="1" applyFont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vertical="center" wrapText="1"/>
      <protection locked="0"/>
    </xf>
    <xf numFmtId="3" fontId="20" fillId="9" borderId="20" xfId="0" applyNumberFormat="1" applyFont="1" applyFill="1" applyBorder="1" applyAlignment="1" applyProtection="1">
      <alignment horizontal="center" vertical="center" wrapText="1"/>
      <protection locked="0"/>
    </xf>
    <xf numFmtId="3" fontId="20" fillId="10" borderId="36" xfId="0" applyNumberFormat="1" applyFont="1" applyFill="1" applyBorder="1" applyAlignment="1">
      <alignment horizontal="center" vertical="center" wrapText="1"/>
    </xf>
    <xf numFmtId="3" fontId="20" fillId="10" borderId="21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 applyProtection="1">
      <alignment vertical="center"/>
      <protection locked="0"/>
    </xf>
    <xf numFmtId="0" fontId="9" fillId="13" borderId="0" xfId="0" applyFont="1" applyFill="1" applyAlignment="1">
      <alignment horizontal="center" vertical="center" wrapText="1"/>
    </xf>
    <xf numFmtId="0" fontId="9" fillId="0" borderId="21" xfId="0" applyFont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9" fillId="0" borderId="25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9" fillId="11" borderId="13" xfId="0" applyFont="1" applyFill="1" applyBorder="1" applyAlignment="1" applyProtection="1">
      <alignment horizontal="center" vertical="center"/>
      <protection locked="0"/>
    </xf>
    <xf numFmtId="0" fontId="9" fillId="0" borderId="29" xfId="0" applyFont="1" applyBorder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right" vertical="center"/>
      <protection locked="0"/>
    </xf>
    <xf numFmtId="0" fontId="9" fillId="0" borderId="25" xfId="0" applyFont="1" applyBorder="1" applyAlignment="1" applyProtection="1">
      <alignment horizontal="left" vertical="center"/>
      <protection locked="0"/>
    </xf>
    <xf numFmtId="164" fontId="9" fillId="0" borderId="0" xfId="0" applyNumberFormat="1" applyFont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0" borderId="26" xfId="0" applyFont="1" applyBorder="1" applyAlignment="1" applyProtection="1">
      <alignment horizontal="center" vertical="center" wrapText="1"/>
      <protection locked="0"/>
    </xf>
    <xf numFmtId="0" fontId="20" fillId="10" borderId="0" xfId="0" applyFont="1" applyFill="1" applyAlignment="1">
      <alignment horizontal="center" vertical="center" wrapText="1"/>
    </xf>
    <xf numFmtId="0" fontId="9" fillId="13" borderId="26" xfId="0" applyFont="1" applyFill="1" applyBorder="1" applyAlignment="1">
      <alignment horizontal="center" vertical="center" wrapText="1"/>
    </xf>
    <xf numFmtId="0" fontId="20" fillId="10" borderId="26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9" borderId="0" xfId="0" applyFont="1" applyFill="1" applyAlignment="1" applyProtection="1">
      <alignment horizontal="center" vertical="center"/>
      <protection locked="0"/>
    </xf>
    <xf numFmtId="0" fontId="20" fillId="0" borderId="15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20" fillId="11" borderId="4" xfId="0" applyFont="1" applyFill="1" applyBorder="1" applyAlignment="1">
      <alignment horizontal="center" vertical="center" wrapText="1"/>
    </xf>
    <xf numFmtId="10" fontId="20" fillId="10" borderId="4" xfId="2" applyNumberFormat="1" applyFont="1" applyFill="1" applyBorder="1" applyAlignment="1">
      <alignment horizontal="center" vertical="center" wrapText="1"/>
    </xf>
    <xf numFmtId="3" fontId="20" fillId="11" borderId="4" xfId="0" applyNumberFormat="1" applyFont="1" applyFill="1" applyBorder="1" applyAlignment="1">
      <alignment horizontal="center" vertical="center" wrapText="1"/>
    </xf>
    <xf numFmtId="10" fontId="20" fillId="11" borderId="19" xfId="2" applyNumberFormat="1" applyFont="1" applyFill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11" borderId="23" xfId="0" applyFont="1" applyFill="1" applyBorder="1" applyAlignment="1">
      <alignment horizontal="center" vertical="center" wrapText="1"/>
    </xf>
    <xf numFmtId="3" fontId="20" fillId="11" borderId="23" xfId="0" applyNumberFormat="1" applyFont="1" applyFill="1" applyBorder="1" applyAlignment="1">
      <alignment horizontal="center" vertical="center" wrapText="1"/>
    </xf>
    <xf numFmtId="10" fontId="20" fillId="11" borderId="24" xfId="2" applyNumberFormat="1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13" xfId="0" applyNumberFormat="1" applyFont="1" applyBorder="1" applyAlignment="1" applyProtection="1">
      <alignment horizontal="center" vertical="center" wrapText="1"/>
      <protection locked="0"/>
    </xf>
    <xf numFmtId="0" fontId="9" fillId="0" borderId="21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9" fillId="0" borderId="36" xfId="0" applyFont="1" applyBorder="1" applyAlignment="1" applyProtection="1">
      <alignment vertical="center"/>
      <protection locked="0"/>
    </xf>
    <xf numFmtId="0" fontId="9" fillId="0" borderId="20" xfId="0" applyFont="1" applyBorder="1" applyAlignment="1" applyProtection="1">
      <alignment vertical="center"/>
      <protection locked="0"/>
    </xf>
    <xf numFmtId="0" fontId="16" fillId="0" borderId="0" xfId="0" applyFont="1"/>
    <xf numFmtId="0" fontId="9" fillId="0" borderId="1" xfId="0" applyFont="1" applyBorder="1" applyAlignment="1">
      <alignment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20" fillId="0" borderId="20" xfId="0" applyFont="1" applyBorder="1" applyAlignment="1">
      <alignment horizontal="center" vertical="center" wrapText="1"/>
    </xf>
    <xf numFmtId="0" fontId="20" fillId="15" borderId="36" xfId="0" applyFont="1" applyFill="1" applyBorder="1" applyAlignment="1">
      <alignment horizontal="center" vertical="center" wrapText="1"/>
    </xf>
    <xf numFmtId="0" fontId="29" fillId="6" borderId="4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0" fillId="15" borderId="4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20" xfId="0" applyFont="1" applyBorder="1"/>
    <xf numFmtId="0" fontId="16" fillId="0" borderId="36" xfId="0" applyFont="1" applyBorder="1"/>
    <xf numFmtId="0" fontId="30" fillId="0" borderId="0" xfId="0" applyFont="1" applyAlignment="1" applyProtection="1">
      <alignment vertical="center"/>
      <protection locked="0"/>
    </xf>
    <xf numFmtId="0" fontId="30" fillId="0" borderId="0" xfId="0" applyFont="1" applyProtection="1">
      <protection locked="0"/>
    </xf>
    <xf numFmtId="0" fontId="30" fillId="0" borderId="10" xfId="0" applyFont="1" applyBorder="1" applyProtection="1">
      <protection locked="0"/>
    </xf>
    <xf numFmtId="0" fontId="30" fillId="0" borderId="11" xfId="0" applyFont="1" applyBorder="1" applyProtection="1">
      <protection locked="0"/>
    </xf>
    <xf numFmtId="0" fontId="31" fillId="0" borderId="3" xfId="0" applyFont="1" applyBorder="1" applyAlignment="1" applyProtection="1">
      <alignment vertical="center" wrapText="1"/>
      <protection locked="0"/>
    </xf>
    <xf numFmtId="0" fontId="31" fillId="0" borderId="0" xfId="0" applyFont="1" applyAlignment="1" applyProtection="1">
      <alignment vertical="center" wrapText="1"/>
      <protection locked="0"/>
    </xf>
    <xf numFmtId="0" fontId="30" fillId="0" borderId="3" xfId="0" applyFont="1" applyBorder="1"/>
    <xf numFmtId="0" fontId="32" fillId="0" borderId="0" xfId="0" applyFont="1"/>
    <xf numFmtId="0" fontId="30" fillId="0" borderId="0" xfId="0" applyFont="1"/>
    <xf numFmtId="0" fontId="30" fillId="0" borderId="3" xfId="0" applyFont="1" applyBorder="1" applyAlignment="1">
      <alignment wrapText="1"/>
    </xf>
    <xf numFmtId="0" fontId="30" fillId="0" borderId="0" xfId="0" applyFont="1" applyAlignment="1">
      <alignment wrapText="1"/>
    </xf>
    <xf numFmtId="0" fontId="33" fillId="0" borderId="0" xfId="0" applyFont="1" applyAlignment="1">
      <alignment horizontal="center" vertical="center" wrapText="1"/>
    </xf>
    <xf numFmtId="0" fontId="30" fillId="0" borderId="3" xfId="0" applyFont="1" applyBorder="1" applyProtection="1">
      <protection locked="0"/>
    </xf>
    <xf numFmtId="0" fontId="35" fillId="0" borderId="3" xfId="0" applyFont="1" applyBorder="1" applyProtection="1">
      <protection locked="0"/>
    </xf>
    <xf numFmtId="0" fontId="30" fillId="0" borderId="20" xfId="0" applyFont="1" applyBorder="1" applyProtection="1">
      <protection locked="0"/>
    </xf>
    <xf numFmtId="0" fontId="30" fillId="0" borderId="36" xfId="0" applyFont="1" applyBorder="1" applyProtection="1">
      <protection locked="0"/>
    </xf>
    <xf numFmtId="0" fontId="31" fillId="0" borderId="0" xfId="0" applyFont="1" applyAlignment="1" applyProtection="1">
      <alignment vertical="center"/>
      <protection locked="0"/>
    </xf>
    <xf numFmtId="0" fontId="30" fillId="0" borderId="0" xfId="0" applyFont="1" applyAlignment="1" applyProtection="1">
      <alignment horizontal="center" vertical="center" wrapText="1"/>
      <protection locked="0"/>
    </xf>
    <xf numFmtId="3" fontId="35" fillId="0" borderId="0" xfId="0" applyNumberFormat="1" applyFont="1" applyAlignment="1" applyProtection="1">
      <alignment vertical="center" wrapText="1"/>
      <protection locked="0"/>
    </xf>
    <xf numFmtId="0" fontId="30" fillId="0" borderId="12" xfId="0" applyFont="1" applyBorder="1" applyProtection="1">
      <protection locked="0"/>
    </xf>
    <xf numFmtId="0" fontId="31" fillId="0" borderId="13" xfId="0" applyFont="1" applyBorder="1" applyAlignment="1" applyProtection="1">
      <alignment vertical="center" wrapText="1"/>
      <protection locked="0"/>
    </xf>
    <xf numFmtId="0" fontId="31" fillId="0" borderId="0" xfId="0" applyFont="1" applyAlignment="1" applyProtection="1">
      <alignment horizontal="center" vertical="center" wrapText="1"/>
      <protection locked="0"/>
    </xf>
    <xf numFmtId="0" fontId="31" fillId="0" borderId="0" xfId="0" applyFont="1" applyProtection="1">
      <protection locked="0"/>
    </xf>
    <xf numFmtId="0" fontId="30" fillId="0" borderId="13" xfId="0" applyFont="1" applyBorder="1"/>
    <xf numFmtId="0" fontId="30" fillId="0" borderId="13" xfId="0" applyFont="1" applyBorder="1" applyAlignment="1">
      <alignment wrapText="1"/>
    </xf>
    <xf numFmtId="0" fontId="30" fillId="0" borderId="0" xfId="0" applyFont="1" applyAlignment="1" applyProtection="1">
      <alignment wrapText="1"/>
      <protection locked="0"/>
    </xf>
    <xf numFmtId="0" fontId="30" fillId="0" borderId="13" xfId="0" applyFont="1" applyBorder="1" applyProtection="1">
      <protection locked="0"/>
    </xf>
    <xf numFmtId="0" fontId="30" fillId="0" borderId="21" xfId="0" applyFont="1" applyBorder="1" applyProtection="1">
      <protection locked="0"/>
    </xf>
    <xf numFmtId="2" fontId="15" fillId="12" borderId="0" xfId="0" applyNumberFormat="1" applyFont="1" applyFill="1" applyAlignment="1">
      <alignment horizontal="center" vertical="center"/>
    </xf>
    <xf numFmtId="0" fontId="18" fillId="0" borderId="0" xfId="0" applyFont="1" applyAlignment="1" applyProtection="1">
      <alignment horizontal="center" vertical="center" wrapText="1"/>
      <protection locked="0"/>
    </xf>
    <xf numFmtId="0" fontId="42" fillId="0" borderId="0" xfId="0" applyFont="1" applyAlignment="1" applyProtection="1">
      <alignment vertical="center"/>
      <protection locked="0"/>
    </xf>
    <xf numFmtId="0" fontId="0" fillId="0" borderId="4" xfId="0" applyBorder="1"/>
    <xf numFmtId="0" fontId="42" fillId="0" borderId="4" xfId="0" applyFont="1" applyBorder="1" applyAlignment="1" applyProtection="1">
      <alignment horizontal="center"/>
      <protection locked="0"/>
    </xf>
    <xf numFmtId="166" fontId="42" fillId="0" borderId="4" xfId="6" applyNumberFormat="1" applyFont="1" applyBorder="1" applyAlignment="1" applyProtection="1">
      <alignment horizontal="center"/>
      <protection locked="0"/>
    </xf>
    <xf numFmtId="0" fontId="42" fillId="9" borderId="4" xfId="0" applyFont="1" applyFill="1" applyBorder="1" applyAlignment="1" applyProtection="1">
      <alignment horizontal="center" vertical="center"/>
      <protection locked="0"/>
    </xf>
    <xf numFmtId="166" fontId="42" fillId="9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21" fillId="15" borderId="24" xfId="0" applyFont="1" applyFill="1" applyBorder="1" applyAlignment="1">
      <alignment horizontal="center" vertical="center" wrapText="1"/>
    </xf>
    <xf numFmtId="4" fontId="9" fillId="11" borderId="4" xfId="0" applyNumberFormat="1" applyFont="1" applyFill="1" applyBorder="1" applyAlignment="1">
      <alignment horizontal="center" vertical="center" wrapText="1"/>
    </xf>
    <xf numFmtId="4" fontId="20" fillId="11" borderId="23" xfId="0" applyNumberFormat="1" applyFont="1" applyFill="1" applyBorder="1" applyAlignment="1">
      <alignment horizontal="center" vertical="center" wrapText="1"/>
    </xf>
    <xf numFmtId="10" fontId="14" fillId="10" borderId="40" xfId="2" applyNumberFormat="1" applyFont="1" applyFill="1" applyBorder="1" applyAlignment="1">
      <alignment horizontal="center" vertical="center" wrapText="1"/>
    </xf>
    <xf numFmtId="0" fontId="14" fillId="0" borderId="49" xfId="0" applyFont="1" applyBorder="1" applyAlignment="1">
      <alignment vertical="center" wrapText="1"/>
    </xf>
    <xf numFmtId="0" fontId="14" fillId="0" borderId="48" xfId="0" applyFont="1" applyBorder="1" applyAlignment="1" applyProtection="1">
      <alignment wrapText="1"/>
      <protection locked="0"/>
    </xf>
    <xf numFmtId="0" fontId="14" fillId="0" borderId="48" xfId="0" applyFont="1" applyBorder="1" applyAlignment="1" applyProtection="1">
      <alignment horizontal="center" wrapText="1"/>
      <protection locked="0"/>
    </xf>
    <xf numFmtId="0" fontId="43" fillId="0" borderId="31" xfId="0" applyFont="1" applyBorder="1" applyAlignment="1">
      <alignment vertical="center" wrapText="1"/>
    </xf>
    <xf numFmtId="0" fontId="43" fillId="0" borderId="4" xfId="0" applyFont="1" applyBorder="1" applyAlignment="1" applyProtection="1">
      <alignment horizontal="center" wrapText="1"/>
      <protection locked="0"/>
    </xf>
    <xf numFmtId="0" fontId="43" fillId="0" borderId="33" xfId="0" applyFont="1" applyBorder="1" applyAlignment="1">
      <alignment vertical="center" wrapText="1"/>
    </xf>
    <xf numFmtId="0" fontId="43" fillId="0" borderId="18" xfId="0" applyFont="1" applyBorder="1" applyAlignment="1">
      <alignment vertical="center" wrapText="1"/>
    </xf>
    <xf numFmtId="0" fontId="43" fillId="0" borderId="34" xfId="0" applyFont="1" applyBorder="1" applyAlignment="1" applyProtection="1">
      <alignment horizontal="center" wrapText="1"/>
      <protection locked="0"/>
    </xf>
    <xf numFmtId="0" fontId="43" fillId="0" borderId="4" xfId="0" applyFont="1" applyBorder="1" applyAlignment="1">
      <alignment vertical="center" wrapText="1"/>
    </xf>
    <xf numFmtId="0" fontId="43" fillId="0" borderId="34" xfId="0" applyFont="1" applyBorder="1" applyAlignment="1">
      <alignment vertical="center" wrapText="1"/>
    </xf>
    <xf numFmtId="0" fontId="43" fillId="0" borderId="4" xfId="0" applyFont="1" applyBorder="1" applyAlignment="1" applyProtection="1">
      <alignment vertical="center" wrapText="1"/>
      <protection locked="0"/>
    </xf>
    <xf numFmtId="0" fontId="43" fillId="0" borderId="4" xfId="0" applyFont="1" applyBorder="1" applyAlignment="1" applyProtection="1">
      <alignment horizontal="right" wrapText="1"/>
      <protection locked="0"/>
    </xf>
    <xf numFmtId="0" fontId="43" fillId="0" borderId="4" xfId="0" applyFont="1" applyBorder="1" applyAlignment="1" applyProtection="1">
      <alignment horizontal="left" wrapText="1"/>
      <protection locked="0"/>
    </xf>
    <xf numFmtId="0" fontId="43" fillId="0" borderId="4" xfId="0" applyFont="1" applyBorder="1" applyAlignment="1" applyProtection="1">
      <alignment wrapText="1"/>
      <protection locked="0"/>
    </xf>
    <xf numFmtId="0" fontId="44" fillId="11" borderId="36" xfId="0" applyFont="1" applyFill="1" applyBorder="1" applyAlignment="1">
      <alignment horizontal="center" vertical="center"/>
    </xf>
    <xf numFmtId="2" fontId="44" fillId="11" borderId="36" xfId="0" applyNumberFormat="1" applyFont="1" applyFill="1" applyBorder="1" applyAlignment="1">
      <alignment horizontal="center" vertical="center"/>
    </xf>
    <xf numFmtId="10" fontId="44" fillId="11" borderId="36" xfId="4" applyNumberFormat="1" applyFont="1" applyFill="1" applyBorder="1" applyAlignment="1">
      <alignment horizontal="center" vertical="center"/>
    </xf>
    <xf numFmtId="10" fontId="44" fillId="11" borderId="21" xfId="4" applyNumberFormat="1" applyFont="1" applyFill="1" applyBorder="1" applyAlignment="1">
      <alignment horizontal="center" vertical="center"/>
    </xf>
    <xf numFmtId="0" fontId="30" fillId="0" borderId="3" xfId="0" applyFont="1" applyBorder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30" fillId="0" borderId="13" xfId="0" applyFont="1" applyBorder="1" applyAlignment="1" applyProtection="1">
      <alignment horizontal="center"/>
      <protection locked="0"/>
    </xf>
    <xf numFmtId="0" fontId="33" fillId="0" borderId="0" xfId="0" applyFont="1" applyAlignment="1">
      <alignment horizontal="center" vertical="center" wrapText="1"/>
    </xf>
    <xf numFmtId="0" fontId="32" fillId="0" borderId="3" xfId="0" applyFont="1" applyBorder="1" applyAlignment="1">
      <alignment horizontal="right"/>
    </xf>
    <xf numFmtId="0" fontId="32" fillId="0" borderId="0" xfId="0" applyFont="1" applyAlignment="1">
      <alignment horizontal="right"/>
    </xf>
    <xf numFmtId="0" fontId="30" fillId="0" borderId="25" xfId="0" applyFont="1" applyBorder="1" applyAlignment="1">
      <alignment horizontal="center"/>
    </xf>
    <xf numFmtId="49" fontId="30" fillId="0" borderId="25" xfId="0" applyNumberFormat="1" applyFont="1" applyBorder="1" applyAlignment="1">
      <alignment horizontal="center"/>
    </xf>
    <xf numFmtId="0" fontId="34" fillId="0" borderId="3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3" xfId="0" applyBorder="1" applyProtection="1">
      <protection locked="0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20" fillId="2" borderId="26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8" fillId="2" borderId="5" xfId="0" applyFont="1" applyFill="1" applyBorder="1" applyAlignment="1">
      <alignment horizontal="center" vertical="center"/>
    </xf>
    <xf numFmtId="0" fontId="28" fillId="2" borderId="14" xfId="0" applyFont="1" applyFill="1" applyBorder="1" applyAlignment="1">
      <alignment horizontal="center" vertical="center"/>
    </xf>
    <xf numFmtId="0" fontId="28" fillId="2" borderId="7" xfId="0" applyFont="1" applyFill="1" applyBorder="1" applyAlignment="1">
      <alignment horizontal="center" vertical="center"/>
    </xf>
    <xf numFmtId="0" fontId="28" fillId="6" borderId="18" xfId="0" applyFont="1" applyFill="1" applyBorder="1" applyAlignment="1">
      <alignment horizontal="left" vertical="center" wrapText="1"/>
    </xf>
    <xf numFmtId="0" fontId="28" fillId="6" borderId="4" xfId="0" applyFont="1" applyFill="1" applyBorder="1" applyAlignment="1">
      <alignment horizontal="left" vertical="center" wrapText="1"/>
    </xf>
    <xf numFmtId="0" fontId="29" fillId="0" borderId="18" xfId="0" applyFont="1" applyBorder="1" applyAlignment="1">
      <alignment vertical="center" wrapText="1"/>
    </xf>
    <xf numFmtId="0" fontId="29" fillId="0" borderId="4" xfId="0" applyFont="1" applyBorder="1" applyAlignment="1">
      <alignment vertical="center" wrapText="1"/>
    </xf>
    <xf numFmtId="0" fontId="29" fillId="0" borderId="18" xfId="0" applyFont="1" applyBorder="1" applyAlignment="1">
      <alignment vertical="center"/>
    </xf>
    <xf numFmtId="0" fontId="29" fillId="0" borderId="4" xfId="0" applyFont="1" applyBorder="1" applyAlignment="1">
      <alignment vertical="center"/>
    </xf>
    <xf numFmtId="0" fontId="20" fillId="15" borderId="5" xfId="0" applyFont="1" applyFill="1" applyBorder="1" applyAlignment="1">
      <alignment horizontal="center" vertical="center" wrapText="1"/>
    </xf>
    <xf numFmtId="0" fontId="20" fillId="15" borderId="7" xfId="0" applyFont="1" applyFill="1" applyBorder="1" applyAlignment="1">
      <alignment horizontal="center" vertical="center" wrapText="1"/>
    </xf>
    <xf numFmtId="0" fontId="9" fillId="0" borderId="3" xfId="0" applyFont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20" fillId="0" borderId="20" xfId="0" applyFont="1" applyBorder="1" applyAlignment="1" applyProtection="1">
      <alignment horizontal="center" vertical="center" wrapText="1"/>
      <protection locked="0"/>
    </xf>
    <xf numFmtId="0" fontId="20" fillId="0" borderId="36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left" vertical="center" wrapText="1"/>
      <protection locked="0"/>
    </xf>
    <xf numFmtId="0" fontId="20" fillId="2" borderId="2" xfId="0" applyFont="1" applyFill="1" applyBorder="1" applyAlignment="1" applyProtection="1">
      <alignment horizontal="center" vertical="center" wrapText="1"/>
      <protection locked="0"/>
    </xf>
    <xf numFmtId="49" fontId="9" fillId="0" borderId="0" xfId="0" applyNumberFormat="1" applyFont="1" applyAlignment="1" applyProtection="1">
      <alignment horizontal="left" vertical="center"/>
      <protection locked="0"/>
    </xf>
    <xf numFmtId="164" fontId="9" fillId="0" borderId="0" xfId="0" applyNumberFormat="1" applyFont="1" applyAlignment="1" applyProtection="1">
      <alignment horizontal="left" vertical="center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20" fillId="0" borderId="26" xfId="0" applyFont="1" applyBorder="1" applyAlignment="1" applyProtection="1">
      <alignment horizontal="center" vertical="center"/>
      <protection locked="0"/>
    </xf>
    <xf numFmtId="0" fontId="20" fillId="0" borderId="2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20" fillId="0" borderId="45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0" borderId="26" xfId="0" applyFont="1" applyBorder="1" applyAlignment="1" applyProtection="1">
      <alignment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0" xfId="0" applyFont="1" applyAlignment="1" applyProtection="1">
      <alignment horizontal="justify" vertical="top" wrapText="1"/>
      <protection locked="0"/>
    </xf>
    <xf numFmtId="0" fontId="9" fillId="0" borderId="13" xfId="0" applyFont="1" applyBorder="1" applyAlignment="1" applyProtection="1">
      <alignment horizontal="justify" vertical="top" wrapText="1"/>
      <protection locked="0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20" fillId="0" borderId="2" xfId="0" applyFont="1" applyBorder="1" applyAlignment="1" applyProtection="1">
      <alignment horizontal="center" vertical="center" wrapText="1"/>
      <protection locked="0"/>
    </xf>
    <xf numFmtId="0" fontId="20" fillId="0" borderId="26" xfId="0" applyFont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25" fillId="0" borderId="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0" fillId="2" borderId="3" xfId="0" applyFont="1" applyFill="1" applyBorder="1" applyAlignment="1" applyProtection="1">
      <alignment horizontal="center" vertical="center" wrapText="1"/>
      <protection locked="0"/>
    </xf>
    <xf numFmtId="0" fontId="20" fillId="2" borderId="0" xfId="0" applyFont="1" applyFill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justify" vertical="top"/>
      <protection locked="0"/>
    </xf>
    <xf numFmtId="0" fontId="20" fillId="9" borderId="1" xfId="0" applyFont="1" applyFill="1" applyBorder="1" applyAlignment="1" applyProtection="1">
      <alignment horizontal="center" vertical="center" wrapText="1"/>
      <protection locked="0"/>
    </xf>
    <xf numFmtId="0" fontId="20" fillId="9" borderId="26" xfId="0" applyFont="1" applyFill="1" applyBorder="1" applyAlignment="1" applyProtection="1">
      <alignment horizontal="center" vertical="center" wrapText="1"/>
      <protection locked="0"/>
    </xf>
    <xf numFmtId="0" fontId="20" fillId="9" borderId="2" xfId="0" applyFont="1" applyFill="1" applyBorder="1" applyAlignment="1" applyProtection="1">
      <alignment horizontal="center" vertical="center" wrapText="1"/>
      <protection locked="0"/>
    </xf>
    <xf numFmtId="3" fontId="9" fillId="9" borderId="3" xfId="0" applyNumberFormat="1" applyFont="1" applyFill="1" applyBorder="1" applyAlignment="1" applyProtection="1">
      <alignment horizontal="left" vertical="center" wrapText="1"/>
      <protection locked="0"/>
    </xf>
    <xf numFmtId="3" fontId="9" fillId="9" borderId="0" xfId="0" applyNumberFormat="1" applyFont="1" applyFill="1" applyAlignment="1" applyProtection="1">
      <alignment horizontal="left" vertical="center" wrapText="1"/>
      <protection locked="0"/>
    </xf>
    <xf numFmtId="0" fontId="9" fillId="9" borderId="0" xfId="0" applyFont="1" applyFill="1" applyAlignment="1">
      <alignment horizontal="center" vertical="top" wrapText="1"/>
    </xf>
    <xf numFmtId="0" fontId="9" fillId="9" borderId="36" xfId="0" applyFont="1" applyFill="1" applyBorder="1" applyAlignment="1">
      <alignment horizontal="center" vertical="top" wrapText="1"/>
    </xf>
    <xf numFmtId="0" fontId="9" fillId="9" borderId="13" xfId="0" applyFont="1" applyFill="1" applyBorder="1" applyAlignment="1">
      <alignment horizontal="center" vertical="top" wrapText="1"/>
    </xf>
    <xf numFmtId="0" fontId="9" fillId="9" borderId="21" xfId="0" applyFont="1" applyFill="1" applyBorder="1" applyAlignment="1">
      <alignment horizontal="center" vertical="top" wrapText="1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0" borderId="26" xfId="0" applyFont="1" applyBorder="1" applyAlignment="1" applyProtection="1">
      <alignment horizontal="center" vertical="center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18" fillId="9" borderId="3" xfId="0" applyFont="1" applyFill="1" applyBorder="1" applyAlignment="1" applyProtection="1">
      <alignment horizontal="center" vertical="center" wrapText="1"/>
      <protection locked="0"/>
    </xf>
    <xf numFmtId="0" fontId="18" fillId="9" borderId="0" xfId="0" applyFont="1" applyFill="1" applyAlignment="1" applyProtection="1">
      <alignment horizontal="center" vertical="center" wrapText="1"/>
      <protection locked="0"/>
    </xf>
    <xf numFmtId="0" fontId="18" fillId="9" borderId="20" xfId="0" applyFont="1" applyFill="1" applyBorder="1" applyAlignment="1" applyProtection="1">
      <alignment horizontal="center" vertical="center" wrapText="1"/>
      <protection locked="0"/>
    </xf>
    <xf numFmtId="0" fontId="18" fillId="9" borderId="36" xfId="0" applyFont="1" applyFill="1" applyBorder="1" applyAlignment="1" applyProtection="1">
      <alignment horizontal="center" vertical="center" wrapText="1"/>
      <protection locked="0"/>
    </xf>
    <xf numFmtId="3" fontId="20" fillId="9" borderId="20" xfId="0" applyNumberFormat="1" applyFont="1" applyFill="1" applyBorder="1" applyAlignment="1" applyProtection="1">
      <alignment horizontal="left" vertical="center" wrapText="1"/>
      <protection locked="0"/>
    </xf>
    <xf numFmtId="3" fontId="20" fillId="9" borderId="36" xfId="0" applyNumberFormat="1" applyFont="1" applyFill="1" applyBorder="1" applyAlignment="1" applyProtection="1">
      <alignment horizontal="left" vertical="center" wrapText="1"/>
      <protection locked="0"/>
    </xf>
    <xf numFmtId="49" fontId="9" fillId="0" borderId="0" xfId="0" applyNumberFormat="1" applyFont="1" applyAlignment="1" applyProtection="1">
      <alignment horizontal="left" vertical="center" wrapText="1"/>
      <protection locked="0"/>
    </xf>
    <xf numFmtId="0" fontId="15" fillId="0" borderId="1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3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21" fillId="0" borderId="20" xfId="0" applyFont="1" applyBorder="1" applyAlignment="1">
      <alignment vertical="center" wrapText="1"/>
    </xf>
    <xf numFmtId="0" fontId="21" fillId="0" borderId="36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3" xfId="0" applyFont="1" applyBorder="1" applyAlignment="1">
      <alignment horizontal="justify" vertical="top" wrapText="1"/>
    </xf>
    <xf numFmtId="0" fontId="18" fillId="0" borderId="0" xfId="0" applyFont="1" applyAlignment="1">
      <alignment horizontal="justify" vertical="top" wrapText="1"/>
    </xf>
    <xf numFmtId="0" fontId="18" fillId="0" borderId="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9" fillId="0" borderId="36" xfId="0" applyFont="1" applyBorder="1" applyAlignment="1">
      <alignment vertical="center" wrapText="1"/>
    </xf>
    <xf numFmtId="0" fontId="21" fillId="0" borderId="22" xfId="0" applyFont="1" applyBorder="1" applyAlignment="1">
      <alignment horizontal="left" vertical="center" wrapText="1"/>
    </xf>
    <xf numFmtId="0" fontId="21" fillId="0" borderId="23" xfId="0" applyFont="1" applyBorder="1" applyAlignment="1">
      <alignment horizontal="left" vertical="center" wrapText="1"/>
    </xf>
    <xf numFmtId="0" fontId="23" fillId="9" borderId="1" xfId="0" applyFont="1" applyFill="1" applyBorder="1" applyAlignment="1">
      <alignment horizontal="center" vertical="center"/>
    </xf>
    <xf numFmtId="0" fontId="23" fillId="9" borderId="2" xfId="0" applyFont="1" applyFill="1" applyBorder="1" applyAlignment="1">
      <alignment horizontal="center" vertical="center"/>
    </xf>
    <xf numFmtId="0" fontId="18" fillId="0" borderId="20" xfId="0" applyFont="1" applyBorder="1" applyAlignment="1">
      <alignment horizontal="left" vertical="center" wrapText="1"/>
    </xf>
    <xf numFmtId="0" fontId="18" fillId="0" borderId="36" xfId="0" applyFont="1" applyBorder="1" applyAlignment="1">
      <alignment horizontal="left" vertical="center" wrapText="1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6" xfId="0" applyFont="1" applyFill="1" applyBorder="1" applyAlignment="1" applyProtection="1">
      <alignment horizontal="center" vertical="center" wrapText="1"/>
      <protection locked="0"/>
    </xf>
    <xf numFmtId="49" fontId="0" fillId="0" borderId="25" xfId="0" applyNumberFormat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164" fontId="0" fillId="0" borderId="25" xfId="0" applyNumberFormat="1" applyBorder="1" applyAlignment="1" applyProtection="1">
      <alignment horizontal="left" vertical="center"/>
      <protection locked="0"/>
    </xf>
    <xf numFmtId="0" fontId="7" fillId="0" borderId="10" xfId="0" applyFont="1" applyBorder="1" applyAlignment="1" applyProtection="1">
      <alignment horizontal="center" vertical="top" wrapText="1"/>
      <protection locked="0"/>
    </xf>
    <xf numFmtId="0" fontId="7" fillId="0" borderId="11" xfId="0" applyFont="1" applyBorder="1" applyAlignment="1" applyProtection="1">
      <alignment horizontal="center" vertical="top" wrapText="1"/>
      <protection locked="0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20" xfId="0" applyBorder="1" applyAlignment="1" applyProtection="1">
      <alignment horizontal="left" vertical="top" wrapText="1"/>
      <protection locked="0"/>
    </xf>
    <xf numFmtId="0" fontId="0" fillId="0" borderId="36" xfId="0" applyBorder="1" applyAlignment="1" applyProtection="1">
      <alignment horizontal="left" vertical="top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6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38" xfId="0" applyBorder="1" applyAlignment="1" applyProtection="1">
      <alignment horizontal="center" vertical="center" wrapText="1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10" fontId="0" fillId="10" borderId="32" xfId="2" applyNumberFormat="1" applyFont="1" applyFill="1" applyBorder="1" applyAlignment="1">
      <alignment horizontal="center" vertical="center" wrapText="1"/>
    </xf>
    <xf numFmtId="10" fontId="0" fillId="10" borderId="40" xfId="2" applyNumberFormat="1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justify" vertical="center" wrapText="1"/>
      <protection locked="0"/>
    </xf>
    <xf numFmtId="0" fontId="0" fillId="0" borderId="36" xfId="0" applyBorder="1" applyAlignment="1" applyProtection="1">
      <alignment horizontal="justify" vertical="center"/>
      <protection locked="0"/>
    </xf>
    <xf numFmtId="0" fontId="0" fillId="0" borderId="21" xfId="0" applyBorder="1" applyAlignment="1" applyProtection="1">
      <alignment horizontal="justify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Alignment="1" applyProtection="1">
      <alignment horizontal="justify" vertical="top" wrapText="1"/>
      <protection locked="0"/>
    </xf>
    <xf numFmtId="0" fontId="0" fillId="0" borderId="0" xfId="0" applyAlignment="1" applyProtection="1">
      <alignment horizontal="justify" vertical="top"/>
      <protection locked="0"/>
    </xf>
    <xf numFmtId="10" fontId="0" fillId="10" borderId="35" xfId="0" applyNumberFormat="1" applyFill="1" applyBorder="1" applyAlignment="1">
      <alignment horizontal="center" vertical="center"/>
    </xf>
    <xf numFmtId="10" fontId="0" fillId="10" borderId="41" xfId="0" applyNumberFormat="1" applyFill="1" applyBorder="1" applyAlignment="1">
      <alignment horizontal="center" vertical="center"/>
    </xf>
    <xf numFmtId="0" fontId="0" fillId="0" borderId="13" xfId="0" applyBorder="1" applyAlignment="1" applyProtection="1">
      <alignment horizontal="justify" vertical="top" wrapText="1"/>
      <protection locked="0"/>
    </xf>
    <xf numFmtId="0" fontId="15" fillId="9" borderId="1" xfId="0" applyFont="1" applyFill="1" applyBorder="1" applyAlignment="1">
      <alignment horizontal="center" vertical="center"/>
    </xf>
    <xf numFmtId="0" fontId="15" fillId="9" borderId="2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49" fontId="14" fillId="0" borderId="25" xfId="0" applyNumberFormat="1" applyFont="1" applyBorder="1" applyAlignment="1" applyProtection="1">
      <alignment horizontal="left" vertical="center"/>
      <protection locked="0"/>
    </xf>
    <xf numFmtId="0" fontId="14" fillId="0" borderId="25" xfId="0" applyFont="1" applyBorder="1" applyAlignment="1" applyProtection="1">
      <alignment horizontal="left" vertical="center"/>
      <protection locked="0"/>
    </xf>
    <xf numFmtId="164" fontId="14" fillId="0" borderId="25" xfId="0" applyNumberFormat="1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3" fontId="7" fillId="10" borderId="36" xfId="0" applyNumberFormat="1" applyFont="1" applyFill="1" applyBorder="1" applyAlignment="1">
      <alignment horizontal="center" vertical="center"/>
    </xf>
    <xf numFmtId="3" fontId="7" fillId="10" borderId="21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top" wrapText="1"/>
    </xf>
    <xf numFmtId="0" fontId="17" fillId="0" borderId="0" xfId="0" applyFont="1" applyAlignment="1">
      <alignment vertical="top"/>
    </xf>
    <xf numFmtId="0" fontId="14" fillId="0" borderId="4" xfId="0" applyFont="1" applyBorder="1" applyAlignment="1" applyProtection="1">
      <alignment horizontal="center" vertical="center" wrapText="1"/>
      <protection locked="0"/>
    </xf>
    <xf numFmtId="0" fontId="14" fillId="0" borderId="19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wrapText="1"/>
      <protection locked="0"/>
    </xf>
    <xf numFmtId="0" fontId="6" fillId="2" borderId="26" xfId="0" applyFont="1" applyFill="1" applyBorder="1" applyAlignment="1" applyProtection="1">
      <alignment horizontal="center" wrapText="1"/>
      <protection locked="0"/>
    </xf>
    <xf numFmtId="0" fontId="6" fillId="2" borderId="2" xfId="0" applyFont="1" applyFill="1" applyBorder="1" applyAlignment="1" applyProtection="1">
      <alignment horizontal="center" wrapText="1"/>
      <protection locked="0"/>
    </xf>
    <xf numFmtId="49" fontId="14" fillId="0" borderId="25" xfId="0" applyNumberFormat="1" applyFont="1" applyBorder="1" applyAlignment="1" applyProtection="1">
      <alignment horizontal="left" vertical="center" wrapText="1"/>
      <protection locked="0"/>
    </xf>
    <xf numFmtId="0" fontId="14" fillId="0" borderId="25" xfId="0" applyFont="1" applyBorder="1" applyAlignment="1" applyProtection="1">
      <alignment horizontal="left" vertical="center" wrapText="1"/>
      <protection locked="0"/>
    </xf>
    <xf numFmtId="164" fontId="14" fillId="0" borderId="25" xfId="0" applyNumberFormat="1" applyFont="1" applyBorder="1" applyAlignment="1" applyProtection="1">
      <alignment horizontal="left" vertical="center" wrapText="1"/>
      <protection locked="0"/>
    </xf>
    <xf numFmtId="0" fontId="6" fillId="0" borderId="27" xfId="0" applyFont="1" applyBorder="1" applyAlignment="1" applyProtection="1">
      <alignment horizontal="center" vertical="center" wrapText="1"/>
      <protection locked="0"/>
    </xf>
    <xf numFmtId="0" fontId="6" fillId="0" borderId="28" xfId="0" applyFont="1" applyBorder="1" applyAlignment="1" applyProtection="1">
      <alignment horizontal="center" vertical="center" wrapText="1"/>
      <protection locked="0"/>
    </xf>
    <xf numFmtId="0" fontId="6" fillId="0" borderId="29" xfId="0" applyFont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14" fillId="0" borderId="18" xfId="0" applyFont="1" applyBorder="1" applyAlignment="1" applyProtection="1">
      <alignment horizontal="center" vertical="center" wrapText="1"/>
      <protection locked="0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0" fontId="14" fillId="0" borderId="30" xfId="0" applyFont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4" xfId="3" applyFont="1" applyFill="1" applyBorder="1" applyAlignment="1" applyProtection="1">
      <alignment horizontal="center" vertical="center"/>
      <protection locked="0"/>
    </xf>
    <xf numFmtId="49" fontId="3" fillId="0" borderId="4" xfId="3" applyNumberFormat="1" applyFont="1" applyBorder="1" applyAlignment="1" applyProtection="1">
      <alignment horizontal="center" vertical="center"/>
      <protection locked="0"/>
    </xf>
    <xf numFmtId="0" fontId="3" fillId="0" borderId="4" xfId="3" applyFont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>
      <alignment horizontal="center" vertical="center"/>
    </xf>
    <xf numFmtId="164" fontId="4" fillId="0" borderId="4" xfId="3" applyNumberFormat="1" applyFont="1" applyBorder="1" applyAlignment="1" applyProtection="1">
      <alignment horizontal="center" vertical="center"/>
      <protection locked="0"/>
    </xf>
  </cellXfs>
  <cellStyles count="7">
    <cellStyle name="Normal" xfId="0" builtinId="0"/>
    <cellStyle name="Normal_Modelo Planilha Financeira" xfId="3" xr:uid="{00000000-0005-0000-0000-000001000000}"/>
    <cellStyle name="Nota 2" xfId="5" xr:uid="{00000000-0005-0000-0000-000002000000}"/>
    <cellStyle name="Porcentagem" xfId="2" builtinId="5"/>
    <cellStyle name="Porcentagem 8" xfId="4" xr:uid="{00000000-0005-0000-0000-000004000000}"/>
    <cellStyle name="Vírgula" xfId="1" builtinId="3"/>
    <cellStyle name="Vírgula 3" xfId="6" xr:uid="{00000000-0005-0000-0000-000006000000}"/>
  </cellStyles>
  <dxfs count="2">
    <dxf>
      <font>
        <color indexed="12"/>
      </font>
    </dxf>
    <dxf>
      <font>
        <strike val="0"/>
        <color indexed="10"/>
      </font>
    </dxf>
  </dxfs>
  <tableStyles count="0" defaultTableStyle="TableStyleMedium9" defaultPivotStyle="PivotStyleLight16"/>
  <colors>
    <mruColors>
      <color rgb="FF00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showGridLines="0" zoomScale="80" zoomScaleNormal="80" zoomScalePageLayoutView="70" workbookViewId="0">
      <selection activeCell="A30" sqref="A30"/>
    </sheetView>
  </sheetViews>
  <sheetFormatPr defaultColWidth="9.140625" defaultRowHeight="26.25"/>
  <cols>
    <col min="1" max="10" width="16.42578125" style="373" customWidth="1"/>
    <col min="11" max="11" width="20.28515625" style="373" customWidth="1"/>
    <col min="12" max="12" width="16.42578125" style="373" customWidth="1"/>
    <col min="13" max="13" width="17.5703125" style="373" customWidth="1"/>
    <col min="14" max="16384" width="9.140625" style="373"/>
  </cols>
  <sheetData>
    <row r="1" spans="1:17">
      <c r="A1" s="374"/>
      <c r="B1" s="375"/>
      <c r="C1" s="375"/>
      <c r="D1" s="375"/>
      <c r="E1" s="375"/>
      <c r="F1" s="375"/>
      <c r="G1" s="375"/>
      <c r="H1" s="375"/>
      <c r="I1" s="375"/>
      <c r="J1" s="375"/>
      <c r="K1" s="391"/>
    </row>
    <row r="2" spans="1:17" ht="22.5" customHeight="1">
      <c r="A2" s="376"/>
      <c r="B2" s="377"/>
      <c r="C2" s="377"/>
      <c r="D2" s="377"/>
      <c r="E2" s="377"/>
      <c r="F2" s="377"/>
      <c r="G2" s="377"/>
      <c r="H2" s="377"/>
      <c r="I2" s="377"/>
      <c r="J2" s="377"/>
      <c r="K2" s="392"/>
      <c r="L2" s="377"/>
      <c r="M2" s="377"/>
      <c r="N2" s="377"/>
      <c r="O2" s="393"/>
      <c r="P2" s="394"/>
      <c r="Q2" s="394"/>
    </row>
    <row r="3" spans="1:17" ht="31.5">
      <c r="A3" s="439" t="s">
        <v>0</v>
      </c>
      <c r="B3" s="440"/>
      <c r="C3" s="440"/>
      <c r="D3" s="441" t="s">
        <v>1</v>
      </c>
      <c r="E3" s="441"/>
      <c r="F3" s="441"/>
      <c r="G3" s="441"/>
      <c r="H3" s="441"/>
      <c r="I3" s="441"/>
      <c r="J3" s="441"/>
      <c r="K3" s="395"/>
    </row>
    <row r="4" spans="1:17" ht="22.5" customHeight="1">
      <c r="A4" s="378"/>
      <c r="B4" s="379"/>
      <c r="C4" s="379"/>
      <c r="D4" s="379"/>
      <c r="E4" s="379"/>
      <c r="F4" s="379"/>
      <c r="G4" s="379"/>
      <c r="H4" s="379"/>
      <c r="I4" s="379"/>
      <c r="J4" s="379"/>
      <c r="K4" s="395"/>
    </row>
    <row r="5" spans="1:17" ht="31.5">
      <c r="A5" s="439" t="s">
        <v>2</v>
      </c>
      <c r="B5" s="440"/>
      <c r="C5" s="440"/>
      <c r="D5" s="442" t="s">
        <v>3</v>
      </c>
      <c r="E5" s="441"/>
      <c r="F5" s="441"/>
      <c r="G5" s="441"/>
      <c r="H5" s="441"/>
      <c r="I5" s="441"/>
      <c r="J5" s="441"/>
      <c r="K5" s="395"/>
    </row>
    <row r="6" spans="1:17" ht="22.5" customHeight="1">
      <c r="A6" s="378"/>
      <c r="B6" s="380"/>
      <c r="C6" s="380"/>
      <c r="D6" s="380"/>
      <c r="E6" s="380"/>
      <c r="F6" s="380"/>
      <c r="G6" s="380"/>
      <c r="H6" s="380"/>
      <c r="I6" s="380"/>
      <c r="J6" s="380"/>
      <c r="K6" s="395"/>
    </row>
    <row r="7" spans="1:17" ht="22.5" customHeight="1">
      <c r="A7" s="378"/>
      <c r="B7" s="380"/>
      <c r="C7" s="380"/>
      <c r="D7" s="380"/>
      <c r="E7" s="380"/>
      <c r="F7" s="380"/>
      <c r="G7" s="380"/>
      <c r="H7" s="380"/>
      <c r="I7" s="380"/>
      <c r="J7" s="380"/>
      <c r="K7" s="395"/>
    </row>
    <row r="8" spans="1:17" ht="22.5" customHeight="1">
      <c r="A8" s="381"/>
      <c r="B8" s="382"/>
      <c r="C8" s="382"/>
      <c r="D8" s="382"/>
      <c r="E8" s="382"/>
      <c r="F8" s="382"/>
      <c r="G8" s="382"/>
      <c r="H8" s="382"/>
      <c r="I8" s="382"/>
      <c r="J8" s="382"/>
      <c r="K8" s="396"/>
      <c r="L8" s="397"/>
      <c r="M8" s="397"/>
      <c r="N8" s="397"/>
      <c r="O8" s="397"/>
      <c r="P8" s="397"/>
      <c r="Q8" s="397"/>
    </row>
    <row r="9" spans="1:17" ht="22.5" customHeight="1">
      <c r="A9" s="378"/>
      <c r="B9" s="380"/>
      <c r="C9" s="380"/>
      <c r="D9" s="380"/>
      <c r="E9" s="380"/>
      <c r="F9" s="380"/>
      <c r="G9" s="380"/>
      <c r="H9" s="380"/>
      <c r="I9" s="380"/>
      <c r="J9" s="380"/>
      <c r="K9" s="395"/>
    </row>
    <row r="10" spans="1:17" ht="22.5" customHeight="1">
      <c r="A10" s="378"/>
      <c r="B10" s="380"/>
      <c r="C10" s="380"/>
      <c r="D10" s="380"/>
      <c r="E10" s="380"/>
      <c r="F10" s="380"/>
      <c r="G10" s="380"/>
      <c r="H10" s="380"/>
      <c r="I10" s="380"/>
      <c r="J10" s="380"/>
      <c r="K10" s="395"/>
    </row>
    <row r="11" spans="1:17" ht="22.5" customHeight="1">
      <c r="A11" s="378"/>
      <c r="B11" s="380"/>
      <c r="C11" s="380"/>
      <c r="D11" s="380"/>
      <c r="E11" s="380"/>
      <c r="F11" s="380"/>
      <c r="G11" s="380"/>
      <c r="H11" s="380"/>
      <c r="I11" s="380"/>
      <c r="J11" s="380"/>
      <c r="K11" s="395"/>
    </row>
    <row r="12" spans="1:17" ht="22.5" customHeight="1">
      <c r="A12" s="378"/>
      <c r="B12" s="380"/>
      <c r="C12" s="380"/>
      <c r="D12" s="380"/>
      <c r="E12" s="380"/>
      <c r="F12" s="380"/>
      <c r="G12" s="380"/>
      <c r="H12" s="380"/>
      <c r="I12" s="380"/>
      <c r="J12" s="380"/>
      <c r="K12" s="395"/>
    </row>
    <row r="13" spans="1:17" ht="22.5" customHeight="1">
      <c r="A13" s="378"/>
      <c r="B13" s="438" t="s">
        <v>4</v>
      </c>
      <c r="C13" s="438"/>
      <c r="D13" s="438"/>
      <c r="E13" s="438"/>
      <c r="F13" s="438"/>
      <c r="G13" s="438"/>
      <c r="H13" s="438"/>
      <c r="I13" s="438"/>
      <c r="J13" s="438"/>
      <c r="K13" s="395"/>
    </row>
    <row r="14" spans="1:17" ht="22.5" customHeight="1">
      <c r="A14" s="378"/>
      <c r="B14" s="438"/>
      <c r="C14" s="438"/>
      <c r="D14" s="438"/>
      <c r="E14" s="438"/>
      <c r="F14" s="438"/>
      <c r="G14" s="438"/>
      <c r="H14" s="438"/>
      <c r="I14" s="438"/>
      <c r="J14" s="438"/>
      <c r="K14" s="395"/>
    </row>
    <row r="15" spans="1:17" ht="22.5" customHeight="1">
      <c r="A15" s="378"/>
      <c r="B15" s="438"/>
      <c r="C15" s="438"/>
      <c r="D15" s="438"/>
      <c r="E15" s="438"/>
      <c r="F15" s="438"/>
      <c r="G15" s="438"/>
      <c r="H15" s="438"/>
      <c r="I15" s="438"/>
      <c r="J15" s="438"/>
      <c r="K15" s="395"/>
    </row>
    <row r="16" spans="1:17" ht="22.5" customHeight="1">
      <c r="A16" s="378"/>
      <c r="B16" s="438"/>
      <c r="C16" s="438"/>
      <c r="D16" s="438"/>
      <c r="E16" s="438"/>
      <c r="F16" s="438"/>
      <c r="G16" s="438"/>
      <c r="H16" s="438"/>
      <c r="I16" s="438"/>
      <c r="J16" s="438"/>
      <c r="K16" s="395"/>
    </row>
    <row r="17" spans="1:11" ht="22.5" customHeight="1">
      <c r="A17" s="378"/>
      <c r="B17" s="438"/>
      <c r="C17" s="438"/>
      <c r="D17" s="438"/>
      <c r="E17" s="438"/>
      <c r="F17" s="438"/>
      <c r="G17" s="438"/>
      <c r="H17" s="438"/>
      <c r="I17" s="438"/>
      <c r="J17" s="438"/>
      <c r="K17" s="395"/>
    </row>
    <row r="18" spans="1:11" ht="22.5" customHeight="1">
      <c r="A18" s="378"/>
      <c r="B18" s="383"/>
      <c r="C18" s="383"/>
      <c r="D18" s="383"/>
      <c r="E18" s="383"/>
      <c r="F18" s="383"/>
      <c r="G18" s="383"/>
      <c r="H18" s="383"/>
      <c r="I18" s="383"/>
      <c r="J18" s="383"/>
      <c r="K18" s="395"/>
    </row>
    <row r="19" spans="1:11" ht="22.5" customHeight="1">
      <c r="A19" s="378"/>
      <c r="B19" s="383"/>
      <c r="C19" s="383"/>
      <c r="D19" s="383"/>
      <c r="E19" s="383"/>
      <c r="F19" s="383"/>
      <c r="G19" s="383"/>
      <c r="H19" s="383"/>
      <c r="I19" s="383"/>
      <c r="J19" s="383"/>
      <c r="K19" s="395"/>
    </row>
    <row r="20" spans="1:11" ht="22.5" customHeight="1">
      <c r="A20" s="384"/>
      <c r="K20" s="398"/>
    </row>
    <row r="21" spans="1:11">
      <c r="A21" s="443" t="s">
        <v>498</v>
      </c>
      <c r="B21" s="444"/>
      <c r="C21" s="444"/>
      <c r="D21" s="444"/>
      <c r="E21" s="444"/>
      <c r="F21" s="444"/>
      <c r="G21" s="444"/>
      <c r="H21" s="444"/>
      <c r="I21" s="444"/>
      <c r="J21" s="444"/>
      <c r="K21" s="445"/>
    </row>
    <row r="22" spans="1:11" ht="22.5" customHeight="1">
      <c r="A22" s="384"/>
      <c r="K22" s="398"/>
    </row>
    <row r="23" spans="1:11" ht="22.5" customHeight="1">
      <c r="A23" s="384"/>
      <c r="K23" s="398"/>
    </row>
    <row r="24" spans="1:11" ht="22.5" customHeight="1">
      <c r="A24" s="384"/>
      <c r="K24" s="398"/>
    </row>
    <row r="25" spans="1:11" ht="22.5" customHeight="1">
      <c r="A25" s="384"/>
      <c r="K25" s="398"/>
    </row>
    <row r="26" spans="1:11" ht="22.5" customHeight="1">
      <c r="A26" s="385"/>
      <c r="K26" s="398"/>
    </row>
    <row r="27" spans="1:11" ht="22.5" customHeight="1">
      <c r="A27" s="384"/>
      <c r="K27" s="398"/>
    </row>
    <row r="28" spans="1:11" ht="22.5" customHeight="1">
      <c r="A28" s="384"/>
      <c r="K28" s="398"/>
    </row>
    <row r="29" spans="1:11">
      <c r="A29" s="435" t="s">
        <v>499</v>
      </c>
      <c r="B29" s="436"/>
      <c r="C29" s="436"/>
      <c r="D29" s="436"/>
      <c r="E29" s="436"/>
      <c r="F29" s="436"/>
      <c r="G29" s="436"/>
      <c r="H29" s="436"/>
      <c r="I29" s="436"/>
      <c r="J29" s="436"/>
      <c r="K29" s="437"/>
    </row>
    <row r="30" spans="1:11" ht="22.5" customHeight="1">
      <c r="A30" s="386"/>
      <c r="B30" s="387"/>
      <c r="C30" s="387"/>
      <c r="D30" s="387"/>
      <c r="E30" s="387"/>
      <c r="F30" s="387"/>
      <c r="G30" s="387"/>
      <c r="H30" s="387"/>
      <c r="I30" s="387"/>
      <c r="J30" s="387"/>
      <c r="K30" s="399"/>
    </row>
    <row r="31" spans="1:11" ht="22.5" customHeight="1"/>
    <row r="32" spans="1:11" ht="22.5" customHeight="1"/>
    <row r="33" spans="1:1" ht="22.5" customHeight="1"/>
    <row r="34" spans="1:1" ht="22.5" customHeight="1"/>
    <row r="35" spans="1:1" ht="22.5" customHeight="1"/>
    <row r="36" spans="1:1" ht="22.5" customHeight="1"/>
    <row r="37" spans="1:1" ht="22.5" customHeight="1"/>
    <row r="38" spans="1:1" ht="22.5" customHeight="1"/>
    <row r="39" spans="1:1" ht="22.5" customHeight="1"/>
    <row r="40" spans="1:1" ht="22.5" customHeight="1"/>
    <row r="41" spans="1:1" ht="22.5" customHeight="1"/>
    <row r="42" spans="1:1" ht="22.5" customHeight="1"/>
    <row r="43" spans="1:1" ht="22.5" customHeight="1"/>
    <row r="44" spans="1:1" s="372" customFormat="1" ht="22.5" customHeight="1"/>
    <row r="45" spans="1:1" ht="22.5" customHeight="1">
      <c r="A45" s="388"/>
    </row>
    <row r="46" spans="1:1" ht="22.5" customHeight="1">
      <c r="A46" s="389"/>
    </row>
    <row r="47" spans="1:1" ht="22.5" customHeight="1">
      <c r="A47" s="390"/>
    </row>
    <row r="48" spans="1:1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18.600000000000001" customHeight="1"/>
  </sheetData>
  <mergeCells count="7">
    <mergeCell ref="A29:K29"/>
    <mergeCell ref="B13:J17"/>
    <mergeCell ref="A3:C3"/>
    <mergeCell ref="D3:J3"/>
    <mergeCell ref="A5:C5"/>
    <mergeCell ref="D5:J5"/>
    <mergeCell ref="A21:K21"/>
  </mergeCells>
  <pageMargins left="0.78740157480314998" right="0.78740157480314998" top="1.17053571428571" bottom="0.39370078740157499" header="0.31496062992126" footer="0.31496062992126"/>
  <pageSetup paperSize="9" scale="6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4"/>
  <sheetViews>
    <sheetView view="pageLayout" topLeftCell="A16" zoomScaleNormal="100" zoomScaleSheetLayoutView="90" workbookViewId="0">
      <selection activeCell="G50" sqref="G50"/>
    </sheetView>
  </sheetViews>
  <sheetFormatPr defaultColWidth="9.140625" defaultRowHeight="15"/>
  <cols>
    <col min="1" max="1" width="28.42578125" style="357" customWidth="1"/>
    <col min="2" max="5" width="15.42578125" style="357" customWidth="1"/>
    <col min="6" max="16384" width="9.140625" style="357"/>
  </cols>
  <sheetData>
    <row r="1" spans="1:6" ht="21.95" customHeight="1">
      <c r="A1" s="446" t="s">
        <v>5</v>
      </c>
      <c r="B1" s="447"/>
      <c r="C1" s="447"/>
      <c r="D1" s="447"/>
      <c r="E1" s="447"/>
      <c r="F1" s="447"/>
    </row>
    <row r="2" spans="1:6">
      <c r="A2" s="244"/>
      <c r="B2" s="241"/>
      <c r="C2" s="241"/>
      <c r="D2" s="241"/>
      <c r="E2" s="241"/>
      <c r="F2" s="241"/>
    </row>
    <row r="3" spans="1:6">
      <c r="A3" s="245" t="s">
        <v>6</v>
      </c>
      <c r="B3" s="303" t="s">
        <v>3</v>
      </c>
      <c r="C3" s="303"/>
      <c r="D3" s="303"/>
      <c r="E3" s="304"/>
      <c r="F3" s="304"/>
    </row>
    <row r="4" spans="1:6">
      <c r="A4" s="245" t="s">
        <v>7</v>
      </c>
      <c r="B4" s="329">
        <v>45931</v>
      </c>
      <c r="C4" s="304"/>
      <c r="D4" s="304"/>
      <c r="E4" s="304"/>
      <c r="F4" s="304"/>
    </row>
    <row r="5" spans="1:6">
      <c r="A5" s="279"/>
      <c r="C5" s="241"/>
      <c r="D5" s="241"/>
      <c r="E5" s="241"/>
      <c r="F5" s="241"/>
    </row>
    <row r="6" spans="1:6">
      <c r="A6" s="448" t="s">
        <v>8</v>
      </c>
      <c r="B6" s="449"/>
      <c r="C6" s="449"/>
      <c r="D6" s="449"/>
      <c r="E6" s="450"/>
    </row>
    <row r="7" spans="1:6" ht="27" customHeight="1">
      <c r="A7" s="358" t="s">
        <v>9</v>
      </c>
      <c r="B7" s="359" t="s">
        <v>10</v>
      </c>
      <c r="C7" s="359" t="s">
        <v>11</v>
      </c>
      <c r="D7" s="359" t="s">
        <v>12</v>
      </c>
      <c r="E7" s="360" t="s">
        <v>13</v>
      </c>
    </row>
    <row r="8" spans="1:6" ht="21" customHeight="1">
      <c r="A8" s="361" t="str">
        <f>Assistencial!A8</f>
        <v>1. Clínica Cirúrgica</v>
      </c>
      <c r="B8" s="260">
        <v>35</v>
      </c>
      <c r="C8" s="260">
        <v>0</v>
      </c>
      <c r="D8" s="260">
        <v>0</v>
      </c>
      <c r="E8" s="362">
        <v>0</v>
      </c>
    </row>
    <row r="9" spans="1:6" ht="21" customHeight="1">
      <c r="A9" s="361" t="str">
        <f>Assistencial!A9</f>
        <v>2. Clínica Médica</v>
      </c>
      <c r="B9" s="260">
        <v>34</v>
      </c>
      <c r="C9" s="260">
        <v>0</v>
      </c>
      <c r="D9" s="260">
        <v>0</v>
      </c>
      <c r="E9" s="362">
        <v>0</v>
      </c>
    </row>
    <row r="10" spans="1:6" ht="21" customHeight="1">
      <c r="A10" s="361" t="str">
        <f>Assistencial!A10</f>
        <v>3. Oncologia Clínica</v>
      </c>
      <c r="B10" s="260">
        <v>0</v>
      </c>
      <c r="C10" s="260">
        <v>0</v>
      </c>
      <c r="D10" s="260">
        <v>0</v>
      </c>
      <c r="E10" s="362">
        <v>0</v>
      </c>
    </row>
    <row r="11" spans="1:6" ht="21" customHeight="1">
      <c r="A11" s="361" t="str">
        <f>Assistencial!A11</f>
        <v>4. Oncologia Cirúrgica</v>
      </c>
      <c r="B11" s="260">
        <v>0</v>
      </c>
      <c r="C11" s="260">
        <v>0</v>
      </c>
      <c r="D11" s="260">
        <v>0</v>
      </c>
      <c r="E11" s="362">
        <v>0</v>
      </c>
    </row>
    <row r="12" spans="1:6" ht="21" customHeight="1">
      <c r="A12" s="361" t="str">
        <f>Assistencial!A12</f>
        <v>5. Clínica Gineco/Obstétrica</v>
      </c>
      <c r="B12" s="260">
        <v>7</v>
      </c>
      <c r="C12" s="260">
        <v>0</v>
      </c>
      <c r="D12" s="260">
        <v>0</v>
      </c>
      <c r="E12" s="362">
        <v>0</v>
      </c>
    </row>
    <row r="13" spans="1:6" ht="21" customHeight="1">
      <c r="A13" s="361" t="str">
        <f>Assistencial!A13</f>
        <v>6. Clínica Pediátrica</v>
      </c>
      <c r="B13" s="242">
        <v>6</v>
      </c>
      <c r="C13" s="242">
        <v>0</v>
      </c>
      <c r="D13" s="242">
        <v>0</v>
      </c>
      <c r="E13" s="267">
        <v>0</v>
      </c>
    </row>
    <row r="14" spans="1:6">
      <c r="A14" s="361" t="str">
        <f>Assistencial!A14</f>
        <v>7. UTI Adulto</v>
      </c>
      <c r="B14" s="242">
        <v>10</v>
      </c>
      <c r="C14" s="242">
        <v>0</v>
      </c>
      <c r="D14" s="242">
        <v>0</v>
      </c>
      <c r="E14" s="267">
        <v>0</v>
      </c>
    </row>
    <row r="15" spans="1:6">
      <c r="A15" s="363" t="s">
        <v>14</v>
      </c>
      <c r="B15" s="364">
        <f>SUM(B8:B14)</f>
        <v>92</v>
      </c>
      <c r="C15" s="364">
        <f>SUM(C8:C14)</f>
        <v>0</v>
      </c>
      <c r="D15" s="364">
        <f>SUM(D8:D14)</f>
        <v>0</v>
      </c>
      <c r="E15" s="364">
        <f>SUM(E8:E14)</f>
        <v>0</v>
      </c>
    </row>
    <row r="16" spans="1:6">
      <c r="A16" s="279"/>
    </row>
    <row r="17" spans="1:3">
      <c r="A17" s="279"/>
    </row>
    <row r="18" spans="1:3">
      <c r="A18" s="451" t="s">
        <v>15</v>
      </c>
      <c r="B18" s="452"/>
      <c r="C18" s="453"/>
    </row>
    <row r="19" spans="1:3">
      <c r="A19" s="454" t="s">
        <v>16</v>
      </c>
      <c r="B19" s="455"/>
      <c r="C19" s="365"/>
    </row>
    <row r="20" spans="1:3">
      <c r="A20" s="456" t="s">
        <v>17</v>
      </c>
      <c r="B20" s="457"/>
      <c r="C20" s="366">
        <v>10</v>
      </c>
    </row>
    <row r="21" spans="1:3">
      <c r="A21" s="454" t="s">
        <v>18</v>
      </c>
      <c r="B21" s="455"/>
      <c r="C21" s="365"/>
    </row>
    <row r="22" spans="1:3">
      <c r="A22" s="456" t="s">
        <v>19</v>
      </c>
      <c r="B22" s="457"/>
      <c r="C22" s="366">
        <v>1</v>
      </c>
    </row>
    <row r="23" spans="1:3">
      <c r="A23" s="458" t="s">
        <v>20</v>
      </c>
      <c r="B23" s="459"/>
      <c r="C23" s="366">
        <v>17</v>
      </c>
    </row>
    <row r="24" spans="1:3">
      <c r="A24" s="458" t="s">
        <v>21</v>
      </c>
      <c r="B24" s="459"/>
      <c r="C24" s="366">
        <v>1</v>
      </c>
    </row>
    <row r="25" spans="1:3">
      <c r="A25" s="458" t="s">
        <v>22</v>
      </c>
      <c r="B25" s="459"/>
      <c r="C25" s="366">
        <v>2</v>
      </c>
    </row>
    <row r="26" spans="1:3">
      <c r="A26" s="458" t="s">
        <v>23</v>
      </c>
      <c r="B26" s="459"/>
      <c r="C26" s="366">
        <v>2</v>
      </c>
    </row>
    <row r="27" spans="1:3">
      <c r="A27" s="458" t="s">
        <v>24</v>
      </c>
      <c r="B27" s="459"/>
      <c r="C27" s="366">
        <v>1</v>
      </c>
    </row>
    <row r="28" spans="1:3">
      <c r="A28" s="458" t="s">
        <v>25</v>
      </c>
      <c r="B28" s="459"/>
      <c r="C28" s="366">
        <v>10</v>
      </c>
    </row>
    <row r="29" spans="1:3">
      <c r="A29" s="458" t="s">
        <v>26</v>
      </c>
      <c r="B29" s="459"/>
      <c r="C29" s="366">
        <v>1</v>
      </c>
    </row>
    <row r="30" spans="1:3">
      <c r="A30" s="454" t="s">
        <v>27</v>
      </c>
      <c r="B30" s="455"/>
      <c r="C30" s="365"/>
    </row>
    <row r="31" spans="1:3">
      <c r="A31" s="458" t="s">
        <v>28</v>
      </c>
      <c r="B31" s="459"/>
      <c r="C31" s="366">
        <v>2</v>
      </c>
    </row>
    <row r="32" spans="1:3">
      <c r="A32" s="458" t="s">
        <v>29</v>
      </c>
      <c r="B32" s="459"/>
      <c r="C32" s="366">
        <v>20</v>
      </c>
    </row>
    <row r="33" spans="1:6">
      <c r="A33" s="458" t="s">
        <v>30</v>
      </c>
      <c r="B33" s="459"/>
      <c r="C33" s="366">
        <v>3</v>
      </c>
    </row>
    <row r="34" spans="1:6">
      <c r="A34" s="458" t="s">
        <v>31</v>
      </c>
      <c r="B34" s="459"/>
      <c r="C34" s="366">
        <v>2</v>
      </c>
    </row>
    <row r="35" spans="1:6">
      <c r="A35" s="458" t="s">
        <v>32</v>
      </c>
      <c r="B35" s="459"/>
      <c r="C35" s="366">
        <v>2</v>
      </c>
    </row>
    <row r="36" spans="1:6">
      <c r="A36" s="458" t="s">
        <v>33</v>
      </c>
      <c r="B36" s="459"/>
      <c r="C36" s="366">
        <v>5</v>
      </c>
    </row>
    <row r="37" spans="1:6">
      <c r="A37" s="454" t="s">
        <v>34</v>
      </c>
      <c r="B37" s="455"/>
      <c r="C37" s="365"/>
    </row>
    <row r="38" spans="1:6">
      <c r="A38" s="458" t="s">
        <v>35</v>
      </c>
      <c r="B38" s="459"/>
      <c r="C38" s="367">
        <v>5</v>
      </c>
    </row>
    <row r="39" spans="1:6">
      <c r="A39" s="458" t="s">
        <v>36</v>
      </c>
      <c r="B39" s="459"/>
      <c r="C39" s="367">
        <v>2</v>
      </c>
    </row>
    <row r="40" spans="1:6">
      <c r="A40" s="454" t="s">
        <v>37</v>
      </c>
      <c r="B40" s="455"/>
      <c r="C40" s="365"/>
    </row>
    <row r="41" spans="1:6">
      <c r="A41" s="458" t="s">
        <v>38</v>
      </c>
      <c r="B41" s="459"/>
      <c r="C41" s="367">
        <v>6</v>
      </c>
    </row>
    <row r="42" spans="1:6">
      <c r="A42" s="460" t="s">
        <v>39</v>
      </c>
      <c r="B42" s="461"/>
      <c r="C42" s="368">
        <f>SUM(C19:C41)</f>
        <v>92</v>
      </c>
    </row>
    <row r="43" spans="1:6">
      <c r="A43" s="279"/>
      <c r="C43" s="369" t="str">
        <f>IF(C42+C15+D15+E15=B15,"ok","rever")</f>
        <v>ok</v>
      </c>
    </row>
    <row r="44" spans="1:6">
      <c r="A44" s="370"/>
      <c r="B44" s="371"/>
      <c r="C44" s="371"/>
      <c r="D44" s="371"/>
      <c r="E44" s="371"/>
      <c r="F44" s="371"/>
    </row>
  </sheetData>
  <mergeCells count="27">
    <mergeCell ref="A41:B41"/>
    <mergeCell ref="A42:B42"/>
    <mergeCell ref="A36:B36"/>
    <mergeCell ref="A37:B37"/>
    <mergeCell ref="A38:B38"/>
    <mergeCell ref="A39:B39"/>
    <mergeCell ref="A40:B40"/>
    <mergeCell ref="A31:B31"/>
    <mergeCell ref="A32:B32"/>
    <mergeCell ref="A33:B33"/>
    <mergeCell ref="A34:B34"/>
    <mergeCell ref="A35:B35"/>
    <mergeCell ref="A26:B26"/>
    <mergeCell ref="A27:B27"/>
    <mergeCell ref="A28:B28"/>
    <mergeCell ref="A29:B29"/>
    <mergeCell ref="A30:B30"/>
    <mergeCell ref="A21:B21"/>
    <mergeCell ref="A22:B22"/>
    <mergeCell ref="A23:B23"/>
    <mergeCell ref="A24:B24"/>
    <mergeCell ref="A25:B25"/>
    <mergeCell ref="A1:F1"/>
    <mergeCell ref="A6:E6"/>
    <mergeCell ref="A18:C18"/>
    <mergeCell ref="A19:B19"/>
    <mergeCell ref="A20:B20"/>
  </mergeCells>
  <pageMargins left="0.75" right="0.75" top="1" bottom="1" header="0.5" footer="0.5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"/>
  <sheetViews>
    <sheetView showGridLines="0" view="pageLayout" zoomScale="80" zoomScaleNormal="100" zoomScaleSheetLayoutView="90" zoomScalePageLayoutView="80" workbookViewId="0">
      <selection activeCell="F9" sqref="F9"/>
    </sheetView>
  </sheetViews>
  <sheetFormatPr defaultColWidth="28" defaultRowHeight="22.5" customHeight="1"/>
  <cols>
    <col min="1" max="1" width="26.7109375" style="241" customWidth="1"/>
    <col min="2" max="2" width="13.28515625" style="241" customWidth="1"/>
    <col min="3" max="3" width="14.7109375" style="241" customWidth="1"/>
    <col min="4" max="4" width="14.85546875" style="241" customWidth="1"/>
    <col min="5" max="5" width="28" style="241" customWidth="1"/>
    <col min="6" max="16384" width="28" style="241"/>
  </cols>
  <sheetData>
    <row r="1" spans="1:17" ht="22.5" customHeight="1">
      <c r="A1" s="446" t="s">
        <v>40</v>
      </c>
      <c r="B1" s="447"/>
      <c r="C1" s="447"/>
      <c r="D1" s="447"/>
      <c r="E1" s="447"/>
      <c r="F1" s="467"/>
      <c r="G1" s="243"/>
      <c r="H1" s="243"/>
      <c r="I1" s="243"/>
      <c r="J1" s="243"/>
      <c r="K1" s="243"/>
      <c r="L1" s="243"/>
      <c r="M1" s="243"/>
      <c r="N1" s="243"/>
      <c r="O1" s="274"/>
      <c r="P1" s="275"/>
      <c r="Q1" s="275"/>
    </row>
    <row r="2" spans="1:17" ht="22.5" customHeight="1">
      <c r="A2" s="244"/>
      <c r="F2" s="315"/>
    </row>
    <row r="3" spans="1:17" ht="22.5" customHeight="1">
      <c r="A3" s="245" t="s">
        <v>6</v>
      </c>
      <c r="B3" s="468" t="s">
        <v>3</v>
      </c>
      <c r="C3" s="468"/>
      <c r="D3" s="468"/>
      <c r="E3" s="468"/>
      <c r="F3" s="315"/>
    </row>
    <row r="4" spans="1:17" ht="22.5" customHeight="1">
      <c r="A4" s="245" t="s">
        <v>7</v>
      </c>
      <c r="B4" s="469">
        <f>Leitos!B4</f>
        <v>45931</v>
      </c>
      <c r="C4" s="469"/>
      <c r="D4" s="469"/>
      <c r="E4" s="469"/>
      <c r="F4" s="315"/>
    </row>
    <row r="5" spans="1:17" ht="22.5" customHeight="1">
      <c r="A5" s="244"/>
      <c r="F5" s="315"/>
    </row>
    <row r="6" spans="1:17" ht="22.5" customHeight="1">
      <c r="A6" s="470" t="s">
        <v>41</v>
      </c>
      <c r="B6" s="471"/>
      <c r="C6" s="471"/>
      <c r="D6" s="471"/>
      <c r="E6" s="471"/>
      <c r="F6" s="472"/>
    </row>
    <row r="7" spans="1:17" ht="22.5" customHeight="1">
      <c r="A7" s="473"/>
      <c r="B7" s="474"/>
      <c r="C7" s="474"/>
      <c r="D7" s="474"/>
      <c r="F7" s="353" t="s">
        <v>42</v>
      </c>
    </row>
    <row r="8" spans="1:17" ht="22.5" customHeight="1">
      <c r="A8" s="462" t="s">
        <v>43</v>
      </c>
      <c r="B8" s="463"/>
      <c r="C8" s="463"/>
      <c r="D8" s="463"/>
      <c r="E8" s="463"/>
      <c r="F8" s="354">
        <v>2513</v>
      </c>
    </row>
    <row r="9" spans="1:17" ht="22.5" customHeight="1">
      <c r="A9" s="462" t="s">
        <v>44</v>
      </c>
      <c r="B9" s="463"/>
      <c r="C9" s="463"/>
      <c r="D9" s="463"/>
      <c r="E9" s="463"/>
      <c r="F9" s="267">
        <f>'Atividade Cirúrgica'!C15</f>
        <v>424</v>
      </c>
    </row>
    <row r="10" spans="1:17" ht="22.5" customHeight="1">
      <c r="A10" s="464" t="s">
        <v>14</v>
      </c>
      <c r="B10" s="465"/>
      <c r="C10" s="465"/>
      <c r="D10" s="465"/>
      <c r="E10" s="355"/>
      <c r="F10" s="283">
        <f>SUM(F8:F9)</f>
        <v>2937</v>
      </c>
    </row>
    <row r="11" spans="1:17" ht="50.1" customHeight="1">
      <c r="A11" s="462" t="s">
        <v>45</v>
      </c>
      <c r="B11" s="463"/>
      <c r="C11" s="463"/>
      <c r="D11" s="463"/>
      <c r="E11" s="463"/>
      <c r="F11" s="466"/>
    </row>
    <row r="12" spans="1:17" ht="22.5" customHeight="1">
      <c r="A12" s="244"/>
      <c r="F12" s="315"/>
    </row>
    <row r="13" spans="1:17" ht="22.5" customHeight="1">
      <c r="A13" s="244"/>
      <c r="F13" s="315"/>
    </row>
    <row r="14" spans="1:17" ht="22.5" customHeight="1">
      <c r="A14" s="244"/>
      <c r="F14" s="315"/>
    </row>
    <row r="15" spans="1:17" ht="22.5" customHeight="1">
      <c r="A15" s="244"/>
      <c r="F15" s="315"/>
    </row>
    <row r="16" spans="1:17" ht="22.5" customHeight="1">
      <c r="A16" s="244"/>
      <c r="F16" s="315"/>
    </row>
    <row r="17" spans="1:6" ht="22.5" customHeight="1">
      <c r="A17" s="244"/>
      <c r="F17" s="315"/>
    </row>
    <row r="18" spans="1:6" ht="22.5" customHeight="1">
      <c r="A18" s="356"/>
      <c r="B18" s="355"/>
      <c r="C18" s="355"/>
      <c r="D18" s="355"/>
      <c r="E18" s="355"/>
      <c r="F18" s="317"/>
    </row>
  </sheetData>
  <mergeCells count="9">
    <mergeCell ref="A8:E8"/>
    <mergeCell ref="A9:E9"/>
    <mergeCell ref="A10:D10"/>
    <mergeCell ref="A11:F11"/>
    <mergeCell ref="A1:F1"/>
    <mergeCell ref="B3:E3"/>
    <mergeCell ref="B4:E4"/>
    <mergeCell ref="A6:F6"/>
    <mergeCell ref="A7:D7"/>
  </mergeCells>
  <pageMargins left="0.196850393700787" right="0.196850393700787" top="0.98425196850393704" bottom="0.27559055118110198" header="0.31496062992126" footer="0.31496062992126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39"/>
  <sheetViews>
    <sheetView showGridLines="0" view="pageLayout" topLeftCell="A4" zoomScale="90" zoomScaleNormal="100" zoomScaleSheetLayoutView="90" zoomScalePageLayoutView="90" workbookViewId="0">
      <selection activeCell="H26" sqref="H26"/>
    </sheetView>
  </sheetViews>
  <sheetFormatPr defaultColWidth="28" defaultRowHeight="15"/>
  <cols>
    <col min="1" max="1" width="26.7109375" style="241" customWidth="1"/>
    <col min="2" max="2" width="13.28515625" style="241" customWidth="1"/>
    <col min="3" max="3" width="14.7109375" style="241" customWidth="1"/>
    <col min="4" max="4" width="19.28515625" style="241" customWidth="1"/>
    <col min="5" max="5" width="21" style="241" customWidth="1"/>
    <col min="6" max="6" width="19" style="241" customWidth="1"/>
    <col min="7" max="8" width="22.85546875" style="241" customWidth="1"/>
    <col min="9" max="9" width="19" style="241" customWidth="1"/>
    <col min="10" max="10" width="28" style="241" customWidth="1"/>
    <col min="11" max="16384" width="28" style="241"/>
  </cols>
  <sheetData>
    <row r="1" spans="1:22">
      <c r="A1" s="446" t="s">
        <v>5</v>
      </c>
      <c r="B1" s="447"/>
      <c r="C1" s="447"/>
      <c r="D1" s="447"/>
      <c r="E1" s="447"/>
      <c r="F1" s="447"/>
      <c r="G1" s="447"/>
      <c r="H1" s="447"/>
      <c r="I1" s="467"/>
      <c r="J1" s="243"/>
      <c r="K1" s="243"/>
      <c r="L1" s="243"/>
      <c r="M1" s="243"/>
      <c r="N1" s="243"/>
      <c r="O1" s="243"/>
      <c r="P1" s="243"/>
      <c r="Q1" s="243"/>
      <c r="R1" s="243"/>
      <c r="S1" s="243"/>
      <c r="T1" s="274"/>
      <c r="U1" s="275"/>
      <c r="V1" s="275"/>
    </row>
    <row r="2" spans="1:22">
      <c r="A2" s="244"/>
      <c r="I2" s="315"/>
    </row>
    <row r="3" spans="1:22">
      <c r="A3" s="245" t="s">
        <v>6</v>
      </c>
      <c r="B3" s="303" t="s">
        <v>3</v>
      </c>
      <c r="C3" s="303"/>
      <c r="D3" s="303"/>
      <c r="E3" s="304"/>
      <c r="F3" s="304"/>
      <c r="G3" s="327" t="s">
        <v>46</v>
      </c>
      <c r="H3" s="328">
        <v>6683134</v>
      </c>
      <c r="I3" s="315"/>
    </row>
    <row r="4" spans="1:22" ht="18" customHeight="1">
      <c r="A4" s="245" t="s">
        <v>7</v>
      </c>
      <c r="B4" s="329">
        <f>Leitos!B4</f>
        <v>45931</v>
      </c>
      <c r="I4" s="315"/>
    </row>
    <row r="5" spans="1:22">
      <c r="A5" s="244"/>
      <c r="I5" s="315"/>
    </row>
    <row r="6" spans="1:22" ht="21" customHeight="1">
      <c r="A6" s="479" t="s">
        <v>47</v>
      </c>
      <c r="B6" s="480"/>
      <c r="C6" s="480"/>
      <c r="D6" s="480"/>
      <c r="E6" s="480"/>
      <c r="F6" s="480"/>
      <c r="G6" s="480"/>
      <c r="H6" s="480"/>
      <c r="I6" s="481"/>
    </row>
    <row r="7" spans="1:22" ht="30">
      <c r="A7" s="330" t="s">
        <v>9</v>
      </c>
      <c r="B7" s="331" t="s">
        <v>48</v>
      </c>
      <c r="C7" s="331" t="s">
        <v>49</v>
      </c>
      <c r="D7" s="331" t="s">
        <v>50</v>
      </c>
      <c r="E7" s="331" t="s">
        <v>51</v>
      </c>
      <c r="F7" s="331" t="s">
        <v>52</v>
      </c>
      <c r="G7" s="331" t="s">
        <v>53</v>
      </c>
      <c r="H7" s="331" t="s">
        <v>54</v>
      </c>
      <c r="I7" s="336" t="s">
        <v>55</v>
      </c>
      <c r="J7" s="351"/>
      <c r="K7" s="351"/>
      <c r="L7" s="351"/>
      <c r="M7" s="351"/>
      <c r="N7" s="351"/>
      <c r="O7" s="351"/>
      <c r="P7" s="351"/>
      <c r="Q7" s="351"/>
      <c r="R7" s="351"/>
      <c r="S7" s="351"/>
      <c r="T7" s="351"/>
      <c r="U7" s="351"/>
      <c r="V7" s="351"/>
    </row>
    <row r="8" spans="1:22">
      <c r="A8" s="311" t="s">
        <v>56</v>
      </c>
      <c r="B8" s="260">
        <f>285-70-7-2</f>
        <v>206</v>
      </c>
      <c r="C8" s="260">
        <f>2+3+2</f>
        <v>7</v>
      </c>
      <c r="D8" s="260">
        <v>2</v>
      </c>
      <c r="E8" s="260">
        <v>0</v>
      </c>
      <c r="F8" s="332">
        <f>SUM(B8:E8)</f>
        <v>215</v>
      </c>
      <c r="G8" s="316" t="s">
        <v>57</v>
      </c>
      <c r="H8" s="310">
        <v>806</v>
      </c>
      <c r="I8" s="352">
        <v>740</v>
      </c>
    </row>
    <row r="9" spans="1:22">
      <c r="A9" s="311" t="s">
        <v>58</v>
      </c>
      <c r="B9" s="260">
        <f>266-17-25-9-8</f>
        <v>207</v>
      </c>
      <c r="C9" s="260">
        <f>9+3+9+3+1</f>
        <v>25</v>
      </c>
      <c r="D9" s="260">
        <v>9</v>
      </c>
      <c r="E9" s="260">
        <v>8</v>
      </c>
      <c r="F9" s="332">
        <f t="shared" ref="F9:F13" si="0">SUM(B9:E9)</f>
        <v>249</v>
      </c>
      <c r="G9" s="316" t="s">
        <v>57</v>
      </c>
      <c r="H9" s="310">
        <f>775+31</f>
        <v>806</v>
      </c>
      <c r="I9" s="352">
        <f>230+739</f>
        <v>969</v>
      </c>
    </row>
    <row r="10" spans="1:22">
      <c r="A10" s="311" t="s">
        <v>59</v>
      </c>
      <c r="B10" s="260">
        <f>17-12</f>
        <v>5</v>
      </c>
      <c r="C10" s="260">
        <v>0</v>
      </c>
      <c r="D10" s="260">
        <v>0</v>
      </c>
      <c r="E10" s="260">
        <v>12</v>
      </c>
      <c r="F10" s="332">
        <f t="shared" si="0"/>
        <v>17</v>
      </c>
      <c r="G10" s="316" t="s">
        <v>57</v>
      </c>
      <c r="H10" s="310">
        <v>210</v>
      </c>
      <c r="I10" s="352">
        <v>179</v>
      </c>
    </row>
    <row r="11" spans="1:22">
      <c r="A11" s="311" t="s">
        <v>60</v>
      </c>
      <c r="B11" s="260">
        <v>70</v>
      </c>
      <c r="C11" s="260">
        <v>0</v>
      </c>
      <c r="D11" s="260">
        <v>0</v>
      </c>
      <c r="E11" s="260">
        <v>0</v>
      </c>
      <c r="F11" s="332">
        <f t="shared" si="0"/>
        <v>70</v>
      </c>
      <c r="G11" s="316" t="s">
        <v>57</v>
      </c>
      <c r="H11" s="310">
        <v>255</v>
      </c>
      <c r="I11" s="352">
        <v>216</v>
      </c>
    </row>
    <row r="12" spans="1:22">
      <c r="A12" s="311" t="s">
        <v>61</v>
      </c>
      <c r="B12" s="260">
        <f>72-4</f>
        <v>68</v>
      </c>
      <c r="C12" s="260">
        <f>3+1</f>
        <v>4</v>
      </c>
      <c r="D12" s="260">
        <v>0</v>
      </c>
      <c r="E12" s="260">
        <v>0</v>
      </c>
      <c r="F12" s="332">
        <f t="shared" si="0"/>
        <v>72</v>
      </c>
      <c r="G12" s="316" t="s">
        <v>57</v>
      </c>
      <c r="H12" s="310">
        <f>465-186</f>
        <v>279</v>
      </c>
      <c r="I12" s="352">
        <f>365-266</f>
        <v>99</v>
      </c>
    </row>
    <row r="13" spans="1:22">
      <c r="A13" s="311" t="s">
        <v>62</v>
      </c>
      <c r="B13" s="260">
        <f>65-1</f>
        <v>64</v>
      </c>
      <c r="C13" s="260">
        <v>0</v>
      </c>
      <c r="D13" s="260">
        <v>1</v>
      </c>
      <c r="E13" s="260">
        <v>0</v>
      </c>
      <c r="F13" s="332">
        <f t="shared" si="0"/>
        <v>65</v>
      </c>
      <c r="G13" s="316" t="s">
        <v>57</v>
      </c>
      <c r="H13" s="310">
        <v>186</v>
      </c>
      <c r="I13" s="352">
        <v>266</v>
      </c>
    </row>
    <row r="14" spans="1:22">
      <c r="A14" s="330" t="s">
        <v>63</v>
      </c>
      <c r="B14" s="333" t="s">
        <v>57</v>
      </c>
      <c r="C14" s="331">
        <v>1</v>
      </c>
      <c r="D14" s="331">
        <v>2</v>
      </c>
      <c r="E14" s="331">
        <v>10</v>
      </c>
      <c r="F14" s="334">
        <f>SUM(B14:E14)</f>
        <v>13</v>
      </c>
      <c r="G14" s="331">
        <v>32</v>
      </c>
      <c r="H14" s="331">
        <v>310</v>
      </c>
      <c r="I14" s="336">
        <v>299</v>
      </c>
    </row>
    <row r="15" spans="1:22">
      <c r="A15" s="281" t="s">
        <v>14</v>
      </c>
      <c r="B15" s="313">
        <f>SUM(B8:B13)</f>
        <v>620</v>
      </c>
      <c r="C15" s="313">
        <f>SUM(C8:C14)</f>
        <v>37</v>
      </c>
      <c r="D15" s="313">
        <f>SUM(D8:D14)</f>
        <v>14</v>
      </c>
      <c r="E15" s="313">
        <f>SUM(E8:E14)</f>
        <v>30</v>
      </c>
      <c r="F15" s="313">
        <f>SUM(F8:F14)</f>
        <v>701</v>
      </c>
      <c r="G15" s="313">
        <f>SUM(G14)</f>
        <v>32</v>
      </c>
      <c r="H15" s="313">
        <f>SUM(H8:H14)</f>
        <v>2852</v>
      </c>
      <c r="I15" s="314">
        <f>SUM(I8:I14)</f>
        <v>2768</v>
      </c>
    </row>
    <row r="16" spans="1:22" ht="41.1" customHeight="1">
      <c r="A16" s="482" t="s">
        <v>64</v>
      </c>
      <c r="B16" s="483"/>
      <c r="C16" s="483"/>
      <c r="D16" s="483"/>
      <c r="E16" s="483"/>
      <c r="F16" s="483"/>
      <c r="G16" s="483"/>
      <c r="H16" s="483"/>
      <c r="I16" s="484"/>
    </row>
    <row r="17" spans="1:9" ht="44.1" customHeight="1">
      <c r="A17" s="485" t="s">
        <v>65</v>
      </c>
      <c r="B17" s="486"/>
      <c r="D17" s="485" t="s">
        <v>66</v>
      </c>
      <c r="E17" s="486"/>
      <c r="G17"/>
      <c r="H17"/>
      <c r="I17" s="315"/>
    </row>
    <row r="18" spans="1:9">
      <c r="A18" s="335" t="s">
        <v>9</v>
      </c>
      <c r="B18" s="336" t="s">
        <v>67</v>
      </c>
      <c r="D18" s="335" t="s">
        <v>9</v>
      </c>
      <c r="E18" s="336" t="s">
        <v>68</v>
      </c>
      <c r="G18"/>
      <c r="H18"/>
      <c r="I18" s="315"/>
    </row>
    <row r="19" spans="1:9" ht="21" customHeight="1">
      <c r="A19" s="311" t="str">
        <f t="shared" ref="A19:A24" si="1">A8</f>
        <v>1. Clínica Cirúrgica</v>
      </c>
      <c r="B19" s="305">
        <v>2</v>
      </c>
      <c r="D19" s="311" t="str">
        <f t="shared" ref="D19:D24" si="2">A19</f>
        <v>1. Clínica Cirúrgica</v>
      </c>
      <c r="E19" s="305">
        <v>9</v>
      </c>
      <c r="G19"/>
      <c r="H19"/>
      <c r="I19" s="315"/>
    </row>
    <row r="20" spans="1:9">
      <c r="A20" s="311" t="str">
        <f t="shared" si="1"/>
        <v>2. Clínica Médica</v>
      </c>
      <c r="B20" s="267">
        <v>9</v>
      </c>
      <c r="D20" s="311" t="str">
        <f t="shared" si="2"/>
        <v>2. Clínica Médica</v>
      </c>
      <c r="E20" s="267">
        <v>18</v>
      </c>
      <c r="G20"/>
      <c r="H20"/>
      <c r="I20" s="315"/>
    </row>
    <row r="21" spans="1:9">
      <c r="A21" s="311" t="str">
        <f t="shared" si="1"/>
        <v>3. Oncologia Clínica</v>
      </c>
      <c r="B21" s="267">
        <v>1</v>
      </c>
      <c r="D21" s="311" t="str">
        <f t="shared" si="2"/>
        <v>3. Oncologia Clínica</v>
      </c>
      <c r="E21" s="267">
        <v>1</v>
      </c>
      <c r="G21"/>
      <c r="H21"/>
      <c r="I21" s="315"/>
    </row>
    <row r="22" spans="1:9" ht="30">
      <c r="A22" s="311" t="str">
        <f t="shared" si="1"/>
        <v>4. Oncologia Cirúrgica</v>
      </c>
      <c r="B22" s="267">
        <v>1</v>
      </c>
      <c r="D22" s="311" t="str">
        <f t="shared" si="2"/>
        <v>4. Oncologia Cirúrgica</v>
      </c>
      <c r="E22" s="267">
        <v>4</v>
      </c>
      <c r="G22"/>
      <c r="H22"/>
      <c r="I22" s="315"/>
    </row>
    <row r="23" spans="1:9" ht="30">
      <c r="A23" s="311" t="str">
        <f t="shared" si="1"/>
        <v>5. Clínica Gineco/Obstétrica</v>
      </c>
      <c r="B23" s="267">
        <v>0</v>
      </c>
      <c r="D23" s="311" t="str">
        <f t="shared" si="2"/>
        <v>5. Clínica Gineco/Obstétrica</v>
      </c>
      <c r="E23" s="267">
        <v>0</v>
      </c>
      <c r="G23"/>
      <c r="H23"/>
      <c r="I23" s="315"/>
    </row>
    <row r="24" spans="1:9">
      <c r="A24" s="311" t="str">
        <f t="shared" si="1"/>
        <v>6. Clínica Pediátrica</v>
      </c>
      <c r="B24" s="267">
        <v>0</v>
      </c>
      <c r="D24" s="311" t="str">
        <f t="shared" si="2"/>
        <v>6. Clínica Pediátrica</v>
      </c>
      <c r="E24" s="267">
        <v>0</v>
      </c>
      <c r="G24"/>
      <c r="H24"/>
      <c r="I24" s="315"/>
    </row>
    <row r="25" spans="1:9">
      <c r="A25" s="311" t="s">
        <v>69</v>
      </c>
      <c r="B25" s="267">
        <v>0</v>
      </c>
      <c r="D25" s="281" t="s">
        <v>14</v>
      </c>
      <c r="E25" s="283">
        <f>SUM(E19:E24)</f>
        <v>32</v>
      </c>
      <c r="G25"/>
      <c r="H25"/>
      <c r="I25" s="315"/>
    </row>
    <row r="26" spans="1:9" ht="18" customHeight="1">
      <c r="A26" s="281" t="s">
        <v>14</v>
      </c>
      <c r="B26" s="283">
        <f>SUM(B19:B25)</f>
        <v>13</v>
      </c>
      <c r="E26" s="337" t="str">
        <f>IF(E25=G14,"OK","REVER")</f>
        <v>OK</v>
      </c>
      <c r="G26"/>
      <c r="H26"/>
      <c r="I26" s="315"/>
    </row>
    <row r="27" spans="1:9">
      <c r="A27" s="244"/>
      <c r="B27" s="337" t="str">
        <f>IF(B26=F14,"OK","REVER")</f>
        <v>OK</v>
      </c>
      <c r="D27"/>
      <c r="E27"/>
      <c r="F27"/>
      <c r="G27"/>
      <c r="H27"/>
      <c r="I27" s="315"/>
    </row>
    <row r="28" spans="1:9">
      <c r="A28" s="244"/>
      <c r="I28" s="315"/>
    </row>
    <row r="29" spans="1:9" ht="17.25" customHeight="1">
      <c r="A29" s="338" t="s">
        <v>70</v>
      </c>
      <c r="B29" s="475" t="s">
        <v>71</v>
      </c>
      <c r="C29" s="476"/>
      <c r="D29" s="475" t="s">
        <v>72</v>
      </c>
      <c r="E29" s="477"/>
      <c r="F29" s="478"/>
    </row>
    <row r="30" spans="1:9" ht="20.25" customHeight="1">
      <c r="A30" s="339"/>
      <c r="B30" s="340" t="s">
        <v>73</v>
      </c>
      <c r="C30" s="340" t="s">
        <v>74</v>
      </c>
      <c r="D30" s="340" t="s">
        <v>75</v>
      </c>
      <c r="E30" s="340" t="s">
        <v>76</v>
      </c>
      <c r="F30" s="341" t="s">
        <v>77</v>
      </c>
    </row>
    <row r="31" spans="1:9" ht="15" customHeight="1">
      <c r="A31" s="342" t="str">
        <f t="shared" ref="A31:A37" si="3">A8</f>
        <v>1. Clínica Cirúrgica</v>
      </c>
      <c r="B31" s="343">
        <f>F8</f>
        <v>215</v>
      </c>
      <c r="C31" s="344">
        <f>B31/$B$38</f>
        <v>0.30670470756062768</v>
      </c>
      <c r="D31" s="345">
        <f>H8</f>
        <v>806</v>
      </c>
      <c r="E31" s="414">
        <f t="shared" ref="E31:E36" si="4">I8/F8</f>
        <v>3.441860465116279</v>
      </c>
      <c r="F31" s="346">
        <f>I8/H8</f>
        <v>0.91811414392059554</v>
      </c>
    </row>
    <row r="32" spans="1:9">
      <c r="A32" s="342" t="str">
        <f t="shared" si="3"/>
        <v>2. Clínica Médica</v>
      </c>
      <c r="B32" s="343">
        <f t="shared" ref="B32:B37" si="5">F9</f>
        <v>249</v>
      </c>
      <c r="C32" s="344">
        <f t="shared" ref="C32:C38" si="6">B32/$B$38</f>
        <v>0.35520684736091296</v>
      </c>
      <c r="D32" s="345">
        <f t="shared" ref="D32:D37" si="7">H9</f>
        <v>806</v>
      </c>
      <c r="E32" s="414">
        <f t="shared" si="4"/>
        <v>3.8915662650602409</v>
      </c>
      <c r="F32" s="346">
        <f t="shared" ref="F32:F38" si="8">I9/H9</f>
        <v>1.2022332506203475</v>
      </c>
    </row>
    <row r="33" spans="1:9" ht="14.25" customHeight="1">
      <c r="A33" s="342" t="str">
        <f t="shared" si="3"/>
        <v>3. Oncologia Clínica</v>
      </c>
      <c r="B33" s="343">
        <f t="shared" si="5"/>
        <v>17</v>
      </c>
      <c r="C33" s="344">
        <f t="shared" si="6"/>
        <v>2.4251069900142655E-2</v>
      </c>
      <c r="D33" s="345">
        <f t="shared" si="7"/>
        <v>210</v>
      </c>
      <c r="E33" s="414">
        <f t="shared" si="4"/>
        <v>10.529411764705882</v>
      </c>
      <c r="F33" s="346">
        <f t="shared" si="8"/>
        <v>0.85238095238095235</v>
      </c>
    </row>
    <row r="34" spans="1:9" ht="14.25" customHeight="1">
      <c r="A34" s="342" t="str">
        <f t="shared" si="3"/>
        <v>4. Oncologia Cirúrgica</v>
      </c>
      <c r="B34" s="343">
        <f t="shared" si="5"/>
        <v>70</v>
      </c>
      <c r="C34" s="344">
        <f t="shared" si="6"/>
        <v>9.9857346647646214E-2</v>
      </c>
      <c r="D34" s="345">
        <f t="shared" si="7"/>
        <v>255</v>
      </c>
      <c r="E34" s="414">
        <f t="shared" si="4"/>
        <v>3.0857142857142859</v>
      </c>
      <c r="F34" s="346">
        <f t="shared" si="8"/>
        <v>0.84705882352941175</v>
      </c>
    </row>
    <row r="35" spans="1:9" ht="15" customHeight="1">
      <c r="A35" s="342" t="str">
        <f t="shared" si="3"/>
        <v>5. Clínica Gineco/Obstétrica</v>
      </c>
      <c r="B35" s="343">
        <f t="shared" si="5"/>
        <v>72</v>
      </c>
      <c r="C35" s="344">
        <f t="shared" si="6"/>
        <v>0.10271041369472182</v>
      </c>
      <c r="D35" s="345">
        <f t="shared" si="7"/>
        <v>279</v>
      </c>
      <c r="E35" s="414">
        <f t="shared" si="4"/>
        <v>1.375</v>
      </c>
      <c r="F35" s="346">
        <f t="shared" si="8"/>
        <v>0.35483870967741937</v>
      </c>
    </row>
    <row r="36" spans="1:9">
      <c r="A36" s="342" t="str">
        <f t="shared" si="3"/>
        <v>6. Clínica Pediátrica</v>
      </c>
      <c r="B36" s="343">
        <f t="shared" si="5"/>
        <v>65</v>
      </c>
      <c r="C36" s="344">
        <f t="shared" si="6"/>
        <v>9.2724679029957208E-2</v>
      </c>
      <c r="D36" s="345">
        <f t="shared" si="7"/>
        <v>186</v>
      </c>
      <c r="E36" s="414">
        <f t="shared" si="4"/>
        <v>4.092307692307692</v>
      </c>
      <c r="F36" s="346">
        <f t="shared" si="8"/>
        <v>1.4301075268817205</v>
      </c>
    </row>
    <row r="37" spans="1:9">
      <c r="A37" s="342" t="str">
        <f t="shared" si="3"/>
        <v>7. UTI Adulto</v>
      </c>
      <c r="B37" s="343">
        <f t="shared" si="5"/>
        <v>13</v>
      </c>
      <c r="C37" s="344">
        <f t="shared" si="6"/>
        <v>1.8544935805991442E-2</v>
      </c>
      <c r="D37" s="345">
        <f t="shared" si="7"/>
        <v>310</v>
      </c>
      <c r="E37" s="414">
        <f>I14/(G14+F14)</f>
        <v>6.6444444444444448</v>
      </c>
      <c r="F37" s="346">
        <f t="shared" si="8"/>
        <v>0.96451612903225803</v>
      </c>
    </row>
    <row r="38" spans="1:9">
      <c r="A38" s="347" t="s">
        <v>14</v>
      </c>
      <c r="B38" s="348">
        <f>SUM(B31:B37)</f>
        <v>701</v>
      </c>
      <c r="C38" s="344">
        <f t="shared" si="6"/>
        <v>1</v>
      </c>
      <c r="D38" s="349">
        <f>SUM(D31:D37)</f>
        <v>2852</v>
      </c>
      <c r="E38" s="415">
        <f>AVERAGE(E31:E37)</f>
        <v>4.7229007024784035</v>
      </c>
      <c r="F38" s="350">
        <f t="shared" si="8"/>
        <v>0.97054698457222999</v>
      </c>
    </row>
    <row r="39" spans="1:9">
      <c r="I39" s="315"/>
    </row>
  </sheetData>
  <mergeCells count="7">
    <mergeCell ref="B29:C29"/>
    <mergeCell ref="D29:F29"/>
    <mergeCell ref="A1:I1"/>
    <mergeCell ref="A6:I6"/>
    <mergeCell ref="A16:I16"/>
    <mergeCell ref="A17:B17"/>
    <mergeCell ref="D17:E17"/>
  </mergeCells>
  <pageMargins left="0.196850393700787" right="0.196850393700787" top="0.98425196850393704" bottom="0.27559055118110198" header="0.31496062992126" footer="0.31496062992126"/>
  <pageSetup paperSize="9" scale="7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78"/>
  <sheetViews>
    <sheetView showGridLines="0" showWhiteSpace="0" topLeftCell="A37" zoomScaleNormal="100" zoomScaleSheetLayoutView="100" zoomScalePageLayoutView="80" workbookViewId="0">
      <selection activeCell="C52" sqref="C52"/>
    </sheetView>
  </sheetViews>
  <sheetFormatPr defaultColWidth="28" defaultRowHeight="19.5" customHeight="1"/>
  <cols>
    <col min="1" max="1" width="39.28515625" style="241" customWidth="1"/>
    <col min="2" max="2" width="24.7109375" style="241" customWidth="1"/>
    <col min="3" max="3" width="18.28515625" style="241" customWidth="1"/>
    <col min="4" max="4" width="19.7109375" style="241" customWidth="1"/>
    <col min="5" max="5" width="20.42578125" style="241" customWidth="1"/>
    <col min="6" max="16384" width="28" style="241"/>
  </cols>
  <sheetData>
    <row r="1" spans="1:13" ht="19.5" customHeight="1">
      <c r="A1" s="446" t="s">
        <v>78</v>
      </c>
      <c r="B1" s="447"/>
      <c r="C1" s="447"/>
      <c r="D1" s="447"/>
      <c r="E1" s="467"/>
      <c r="F1" s="243"/>
      <c r="G1" s="243"/>
      <c r="H1" s="243"/>
      <c r="I1" s="243"/>
      <c r="J1" s="243"/>
      <c r="K1" s="274"/>
      <c r="L1" s="275"/>
      <c r="M1" s="275"/>
    </row>
    <row r="2" spans="1:13" ht="19.5" customHeight="1">
      <c r="A2" s="244"/>
    </row>
    <row r="3" spans="1:13" ht="19.5" customHeight="1">
      <c r="A3" s="245" t="s">
        <v>6</v>
      </c>
      <c r="B3" s="303" t="s">
        <v>3</v>
      </c>
      <c r="C3" s="304"/>
    </row>
    <row r="4" spans="1:13" ht="19.5" customHeight="1">
      <c r="A4" s="245" t="s">
        <v>7</v>
      </c>
      <c r="B4" s="246">
        <f>Leitos!B4</f>
        <v>45931</v>
      </c>
    </row>
    <row r="5" spans="1:13" ht="19.5" customHeight="1">
      <c r="A5" s="244"/>
    </row>
    <row r="6" spans="1:13" ht="19.5" customHeight="1">
      <c r="A6" s="470" t="s">
        <v>79</v>
      </c>
      <c r="B6" s="471"/>
      <c r="C6" s="471"/>
      <c r="D6" s="471"/>
      <c r="E6" s="472"/>
    </row>
    <row r="7" spans="1:13" ht="18" customHeight="1">
      <c r="A7" s="491" t="s">
        <v>80</v>
      </c>
      <c r="B7" s="492"/>
      <c r="C7" s="492"/>
      <c r="D7" s="492"/>
      <c r="E7" s="493"/>
    </row>
    <row r="8" spans="1:13" ht="63" customHeight="1">
      <c r="A8" s="306" t="s">
        <v>81</v>
      </c>
      <c r="B8" s="307" t="s">
        <v>82</v>
      </c>
      <c r="C8" s="307" t="s">
        <v>83</v>
      </c>
      <c r="D8" s="307" t="s">
        <v>84</v>
      </c>
      <c r="E8" s="308" t="s">
        <v>14</v>
      </c>
    </row>
    <row r="9" spans="1:13" ht="19.5" customHeight="1">
      <c r="A9" s="244" t="s">
        <v>85</v>
      </c>
      <c r="B9" s="242">
        <v>47</v>
      </c>
      <c r="C9" s="242">
        <v>0</v>
      </c>
      <c r="D9" s="242">
        <v>71</v>
      </c>
      <c r="E9" s="309">
        <f>SUM(B9:D9)</f>
        <v>118</v>
      </c>
    </row>
    <row r="10" spans="1:13" ht="19.5" customHeight="1">
      <c r="A10" s="244" t="s">
        <v>86</v>
      </c>
      <c r="B10" s="242">
        <v>104</v>
      </c>
      <c r="C10" s="242">
        <v>0</v>
      </c>
      <c r="D10" s="242">
        <v>79</v>
      </c>
      <c r="E10" s="309">
        <f t="shared" ref="E10:E30" si="0">SUM(B10:D10)</f>
        <v>183</v>
      </c>
    </row>
    <row r="11" spans="1:13" ht="19.5" customHeight="1">
      <c r="A11" s="244" t="s">
        <v>87</v>
      </c>
      <c r="B11" s="242">
        <v>53</v>
      </c>
      <c r="C11" s="242">
        <v>0</v>
      </c>
      <c r="D11" s="242">
        <f>53+44+9</f>
        <v>106</v>
      </c>
      <c r="E11" s="309">
        <f t="shared" si="0"/>
        <v>159</v>
      </c>
    </row>
    <row r="12" spans="1:13" ht="19.5" customHeight="1">
      <c r="A12" s="244" t="s">
        <v>88</v>
      </c>
      <c r="B12" s="310">
        <v>63</v>
      </c>
      <c r="C12" s="310">
        <v>0</v>
      </c>
      <c r="D12" s="310">
        <f>37+25</f>
        <v>62</v>
      </c>
      <c r="E12" s="309">
        <f t="shared" si="0"/>
        <v>125</v>
      </c>
    </row>
    <row r="13" spans="1:13" ht="19.5" customHeight="1">
      <c r="A13" s="244" t="s">
        <v>89</v>
      </c>
      <c r="B13" s="260">
        <v>0</v>
      </c>
      <c r="C13" s="260">
        <v>0</v>
      </c>
      <c r="D13" s="260">
        <v>5</v>
      </c>
      <c r="E13" s="309">
        <f t="shared" si="0"/>
        <v>5</v>
      </c>
    </row>
    <row r="14" spans="1:13" ht="19.5" customHeight="1">
      <c r="A14" s="244" t="s">
        <v>90</v>
      </c>
      <c r="B14" s="242">
        <v>18</v>
      </c>
      <c r="C14" s="242">
        <v>0</v>
      </c>
      <c r="D14" s="242">
        <v>8</v>
      </c>
      <c r="E14" s="309">
        <f t="shared" si="0"/>
        <v>26</v>
      </c>
    </row>
    <row r="15" spans="1:13" ht="19.5" customHeight="1">
      <c r="A15" s="244" t="s">
        <v>91</v>
      </c>
      <c r="B15" s="260">
        <v>17</v>
      </c>
      <c r="C15" s="260">
        <v>0</v>
      </c>
      <c r="D15" s="260">
        <v>17</v>
      </c>
      <c r="E15" s="309">
        <f t="shared" si="0"/>
        <v>34</v>
      </c>
    </row>
    <row r="16" spans="1:13" ht="19.5" customHeight="1">
      <c r="A16" s="244" t="s">
        <v>92</v>
      </c>
      <c r="B16" s="260">
        <v>10</v>
      </c>
      <c r="C16" s="260">
        <v>0</v>
      </c>
      <c r="D16" s="260">
        <v>15</v>
      </c>
      <c r="E16" s="309">
        <f t="shared" si="0"/>
        <v>25</v>
      </c>
    </row>
    <row r="17" spans="1:5" ht="15">
      <c r="A17" s="311" t="s">
        <v>93</v>
      </c>
      <c r="B17" s="242">
        <v>4</v>
      </c>
      <c r="C17" s="242">
        <v>0</v>
      </c>
      <c r="D17" s="242">
        <v>30</v>
      </c>
      <c r="E17" s="309">
        <f t="shared" si="0"/>
        <v>34</v>
      </c>
    </row>
    <row r="18" spans="1:5" ht="19.5" customHeight="1">
      <c r="A18" s="244" t="s">
        <v>94</v>
      </c>
      <c r="B18" s="242">
        <v>13</v>
      </c>
      <c r="C18" s="242">
        <v>0</v>
      </c>
      <c r="D18" s="242">
        <v>4</v>
      </c>
      <c r="E18" s="309">
        <f t="shared" si="0"/>
        <v>17</v>
      </c>
    </row>
    <row r="19" spans="1:5" ht="19.5" customHeight="1">
      <c r="A19" s="244" t="s">
        <v>95</v>
      </c>
      <c r="B19" s="242">
        <v>0</v>
      </c>
      <c r="C19" s="242">
        <v>0</v>
      </c>
      <c r="D19" s="242">
        <v>15</v>
      </c>
      <c r="E19" s="309">
        <f t="shared" si="0"/>
        <v>15</v>
      </c>
    </row>
    <row r="20" spans="1:5" ht="19.5" customHeight="1">
      <c r="A20" s="244" t="s">
        <v>96</v>
      </c>
      <c r="B20" s="242">
        <v>28</v>
      </c>
      <c r="C20" s="242">
        <v>0</v>
      </c>
      <c r="D20" s="242">
        <v>6</v>
      </c>
      <c r="E20" s="309">
        <f t="shared" si="0"/>
        <v>34</v>
      </c>
    </row>
    <row r="21" spans="1:5" ht="19.5" customHeight="1">
      <c r="A21" s="244" t="s">
        <v>97</v>
      </c>
      <c r="B21" s="242">
        <v>278</v>
      </c>
      <c r="C21" s="242">
        <v>0</v>
      </c>
      <c r="D21" s="242">
        <f>151+31</f>
        <v>182</v>
      </c>
      <c r="E21" s="309">
        <f t="shared" si="0"/>
        <v>460</v>
      </c>
    </row>
    <row r="22" spans="1:5" ht="19.5" customHeight="1">
      <c r="A22" s="244" t="s">
        <v>98</v>
      </c>
      <c r="B22" s="242">
        <f>1+15+58</f>
        <v>74</v>
      </c>
      <c r="C22" s="242">
        <v>0</v>
      </c>
      <c r="D22" s="242">
        <f>443+504</f>
        <v>947</v>
      </c>
      <c r="E22" s="309">
        <f t="shared" si="0"/>
        <v>1021</v>
      </c>
    </row>
    <row r="23" spans="1:5" ht="19.5" customHeight="1">
      <c r="A23" s="244" t="s">
        <v>99</v>
      </c>
      <c r="B23" s="242">
        <v>36</v>
      </c>
      <c r="C23" s="242">
        <v>0</v>
      </c>
      <c r="D23" s="242">
        <f>1+148+87</f>
        <v>236</v>
      </c>
      <c r="E23" s="309">
        <f t="shared" si="0"/>
        <v>272</v>
      </c>
    </row>
    <row r="24" spans="1:5" ht="19.5" customHeight="1">
      <c r="A24" s="244" t="s">
        <v>100</v>
      </c>
      <c r="B24" s="242">
        <v>186</v>
      </c>
      <c r="C24" s="242">
        <v>0</v>
      </c>
      <c r="D24" s="242">
        <f>89+190</f>
        <v>279</v>
      </c>
      <c r="E24" s="309">
        <f t="shared" si="0"/>
        <v>465</v>
      </c>
    </row>
    <row r="25" spans="1:5" ht="19.5" customHeight="1">
      <c r="A25" s="244" t="s">
        <v>101</v>
      </c>
      <c r="B25" s="242">
        <v>67</v>
      </c>
      <c r="C25" s="242">
        <v>0</v>
      </c>
      <c r="D25" s="242">
        <v>41</v>
      </c>
      <c r="E25" s="309">
        <f t="shared" si="0"/>
        <v>108</v>
      </c>
    </row>
    <row r="26" spans="1:5" ht="19.5" customHeight="1">
      <c r="A26" s="244" t="s">
        <v>102</v>
      </c>
      <c r="B26" s="242">
        <v>4</v>
      </c>
      <c r="C26" s="242">
        <v>0</v>
      </c>
      <c r="D26" s="242">
        <v>5</v>
      </c>
      <c r="E26" s="309">
        <f t="shared" si="0"/>
        <v>9</v>
      </c>
    </row>
    <row r="27" spans="1:5" ht="19.5" customHeight="1">
      <c r="A27" s="244" t="s">
        <v>103</v>
      </c>
      <c r="B27" s="242">
        <v>5</v>
      </c>
      <c r="C27" s="242">
        <v>0</v>
      </c>
      <c r="D27" s="242">
        <v>46</v>
      </c>
      <c r="E27" s="309">
        <f t="shared" si="0"/>
        <v>51</v>
      </c>
    </row>
    <row r="28" spans="1:5" ht="19.5" customHeight="1">
      <c r="A28" s="244" t="s">
        <v>104</v>
      </c>
      <c r="B28" s="242">
        <v>10</v>
      </c>
      <c r="C28" s="242">
        <v>0</v>
      </c>
      <c r="D28" s="242">
        <f>5+8+1</f>
        <v>14</v>
      </c>
      <c r="E28" s="309">
        <f t="shared" si="0"/>
        <v>24</v>
      </c>
    </row>
    <row r="29" spans="1:5" ht="19.5" customHeight="1">
      <c r="A29" s="244" t="s">
        <v>105</v>
      </c>
      <c r="B29" s="242">
        <v>13</v>
      </c>
      <c r="C29" s="242">
        <v>0</v>
      </c>
      <c r="D29" s="242">
        <v>7</v>
      </c>
      <c r="E29" s="309">
        <f t="shared" si="0"/>
        <v>20</v>
      </c>
    </row>
    <row r="30" spans="1:5" ht="15">
      <c r="A30" s="311" t="s">
        <v>106</v>
      </c>
      <c r="B30" s="242">
        <v>33</v>
      </c>
      <c r="C30" s="242">
        <v>0</v>
      </c>
      <c r="D30" s="242">
        <v>28</v>
      </c>
      <c r="E30" s="309">
        <f t="shared" si="0"/>
        <v>61</v>
      </c>
    </row>
    <row r="31" spans="1:5" ht="19.5" customHeight="1">
      <c r="A31" s="312" t="s">
        <v>14</v>
      </c>
      <c r="B31" s="313">
        <f>SUM(B9:B30)</f>
        <v>1063</v>
      </c>
      <c r="C31" s="313">
        <f>SUM(C9:C30)</f>
        <v>0</v>
      </c>
      <c r="D31" s="313">
        <f>SUM(D9:D30)</f>
        <v>2203</v>
      </c>
      <c r="E31" s="314">
        <f>SUM(E9:E30)</f>
        <v>3266</v>
      </c>
    </row>
    <row r="32" spans="1:5" ht="21" customHeight="1">
      <c r="A32" s="244"/>
      <c r="E32" s="315"/>
    </row>
    <row r="33" spans="1:5" ht="20.100000000000001" customHeight="1">
      <c r="A33" s="494" t="s">
        <v>107</v>
      </c>
      <c r="B33" s="495"/>
      <c r="C33" s="495"/>
      <c r="D33" s="496"/>
      <c r="E33" s="315"/>
    </row>
    <row r="34" spans="1:5" ht="30.95" customHeight="1">
      <c r="A34" s="306" t="s">
        <v>81</v>
      </c>
      <c r="B34" s="307" t="s">
        <v>108</v>
      </c>
      <c r="C34" s="307" t="s">
        <v>109</v>
      </c>
      <c r="D34" s="308" t="s">
        <v>14</v>
      </c>
      <c r="E34" s="315"/>
    </row>
    <row r="35" spans="1:5" ht="45.95" customHeight="1">
      <c r="A35" s="311" t="s">
        <v>110</v>
      </c>
      <c r="B35" s="242">
        <v>13</v>
      </c>
      <c r="C35" s="242">
        <v>9</v>
      </c>
      <c r="D35" s="309">
        <f>SUM(B35:C35)</f>
        <v>22</v>
      </c>
      <c r="E35" s="315"/>
    </row>
    <row r="36" spans="1:5" ht="39.950000000000003" customHeight="1">
      <c r="A36" s="311" t="s">
        <v>111</v>
      </c>
      <c r="B36" s="316" t="s">
        <v>57</v>
      </c>
      <c r="C36" s="242">
        <f>231+375</f>
        <v>606</v>
      </c>
      <c r="D36" s="309">
        <f>SUM(B36:C36)</f>
        <v>606</v>
      </c>
      <c r="E36" s="315"/>
    </row>
    <row r="37" spans="1:5" ht="19.5" customHeight="1">
      <c r="A37" s="312" t="s">
        <v>14</v>
      </c>
      <c r="B37" s="313">
        <f>SUM(B35:B36)</f>
        <v>13</v>
      </c>
      <c r="C37" s="313">
        <f>SUM(C35:C36)</f>
        <v>615</v>
      </c>
      <c r="D37" s="314">
        <f>SUM(D35:D36)</f>
        <v>628</v>
      </c>
      <c r="E37" s="315"/>
    </row>
    <row r="38" spans="1:5" ht="9" customHeight="1">
      <c r="A38" s="244"/>
      <c r="E38" s="315"/>
    </row>
    <row r="39" spans="1:5" ht="18" customHeight="1">
      <c r="A39" s="494" t="s">
        <v>112</v>
      </c>
      <c r="B39" s="495"/>
      <c r="C39" s="495"/>
      <c r="D39" s="496"/>
      <c r="E39" s="315"/>
    </row>
    <row r="40" spans="1:5" ht="27.95" customHeight="1">
      <c r="A40" s="306" t="s">
        <v>81</v>
      </c>
      <c r="B40" s="307" t="str">
        <f>B34</f>
        <v>Realizado Regulação**</v>
      </c>
      <c r="C40" s="307" t="str">
        <f>C34</f>
        <v>Agenda Interna</v>
      </c>
      <c r="D40" s="308" t="s">
        <v>14</v>
      </c>
      <c r="E40" s="315"/>
    </row>
    <row r="41" spans="1:5" ht="19.5" customHeight="1">
      <c r="A41" s="311" t="s">
        <v>113</v>
      </c>
      <c r="B41" s="242">
        <v>0</v>
      </c>
      <c r="C41" s="242">
        <v>8</v>
      </c>
      <c r="D41" s="309">
        <f>SUM(B41:C41)</f>
        <v>8</v>
      </c>
      <c r="E41" s="315"/>
    </row>
    <row r="42" spans="1:5" ht="19.5" customHeight="1">
      <c r="A42" s="244" t="s">
        <v>114</v>
      </c>
      <c r="B42" s="316" t="s">
        <v>57</v>
      </c>
      <c r="C42" s="242">
        <v>179</v>
      </c>
      <c r="D42" s="309">
        <f>SUM(B42:C42)</f>
        <v>179</v>
      </c>
      <c r="E42" s="315"/>
    </row>
    <row r="43" spans="1:5" ht="19.5" customHeight="1">
      <c r="A43" s="244" t="s">
        <v>115</v>
      </c>
      <c r="B43" s="316" t="s">
        <v>57</v>
      </c>
      <c r="C43" s="242">
        <v>22</v>
      </c>
      <c r="D43" s="309">
        <f>SUM(B43:C43)</f>
        <v>22</v>
      </c>
      <c r="E43" s="315"/>
    </row>
    <row r="44" spans="1:5" ht="19.5" customHeight="1">
      <c r="A44" s="244" t="s">
        <v>116</v>
      </c>
      <c r="B44" s="316" t="s">
        <v>57</v>
      </c>
      <c r="C44" s="242">
        <v>189</v>
      </c>
      <c r="D44" s="309">
        <f>SUM(B44:C44)</f>
        <v>189</v>
      </c>
      <c r="E44" s="315"/>
    </row>
    <row r="45" spans="1:5" ht="19.5" customHeight="1">
      <c r="A45" s="312" t="s">
        <v>14</v>
      </c>
      <c r="B45" s="313">
        <f>SUM(B41:B44)</f>
        <v>0</v>
      </c>
      <c r="C45" s="313">
        <f>SUM(C41:C44)</f>
        <v>398</v>
      </c>
      <c r="D45" s="314">
        <f>SUM(D41:D44)</f>
        <v>398</v>
      </c>
      <c r="E45" s="317"/>
    </row>
    <row r="46" spans="1:5" ht="19.5" customHeight="1">
      <c r="A46" s="244"/>
    </row>
    <row r="47" spans="1:5" ht="19.5" customHeight="1">
      <c r="A47" s="470" t="s">
        <v>117</v>
      </c>
      <c r="B47" s="471"/>
      <c r="C47" s="471"/>
      <c r="D47" s="471"/>
      <c r="E47" s="472"/>
    </row>
    <row r="48" spans="1:5" ht="19.5" customHeight="1">
      <c r="A48" s="485" t="s">
        <v>118</v>
      </c>
      <c r="B48" s="487"/>
      <c r="C48" s="487"/>
      <c r="D48" s="487"/>
      <c r="E48" s="486"/>
    </row>
    <row r="49" spans="1:6" ht="18.95" customHeight="1">
      <c r="A49" s="318"/>
      <c r="B49" s="319"/>
      <c r="C49" s="319"/>
      <c r="D49" s="320"/>
      <c r="E49" s="266"/>
    </row>
    <row r="50" spans="1:6" ht="84" customHeight="1">
      <c r="A50" s="321" t="s">
        <v>81</v>
      </c>
      <c r="B50" s="322" t="s">
        <v>119</v>
      </c>
      <c r="C50" s="322" t="s">
        <v>120</v>
      </c>
      <c r="D50" s="323" t="s">
        <v>121</v>
      </c>
      <c r="E50" s="324" t="s">
        <v>122</v>
      </c>
    </row>
    <row r="51" spans="1:6" ht="19.5" customHeight="1">
      <c r="A51" s="244" t="s">
        <v>86</v>
      </c>
      <c r="B51" s="242">
        <v>120</v>
      </c>
      <c r="C51" s="242">
        <v>115</v>
      </c>
      <c r="D51" s="242">
        <v>104</v>
      </c>
      <c r="E51" s="325">
        <f>C51-D51</f>
        <v>11</v>
      </c>
    </row>
    <row r="52" spans="1:6" ht="19.5" customHeight="1">
      <c r="A52" s="244" t="s">
        <v>87</v>
      </c>
      <c r="B52" s="242">
        <v>70</v>
      </c>
      <c r="C52" s="242">
        <v>68</v>
      </c>
      <c r="D52" s="242">
        <v>53</v>
      </c>
      <c r="E52" s="325">
        <f t="shared" ref="E52:E57" si="1">C52-D52</f>
        <v>15</v>
      </c>
      <c r="F52" s="402"/>
    </row>
    <row r="53" spans="1:6" ht="19.5" customHeight="1">
      <c r="A53" s="244" t="s">
        <v>88</v>
      </c>
      <c r="B53" s="310">
        <v>75</v>
      </c>
      <c r="C53" s="310">
        <v>75</v>
      </c>
      <c r="D53" s="310">
        <v>63</v>
      </c>
      <c r="E53" s="325">
        <f t="shared" si="1"/>
        <v>12</v>
      </c>
    </row>
    <row r="54" spans="1:6" ht="19.5" customHeight="1">
      <c r="A54" s="244" t="s">
        <v>90</v>
      </c>
      <c r="B54" s="242">
        <v>20</v>
      </c>
      <c r="C54" s="242">
        <v>20</v>
      </c>
      <c r="D54" s="242">
        <v>16</v>
      </c>
      <c r="E54" s="325">
        <f t="shared" si="1"/>
        <v>4</v>
      </c>
    </row>
    <row r="55" spans="1:6" ht="19.5" customHeight="1">
      <c r="A55" s="244" t="s">
        <v>91</v>
      </c>
      <c r="B55" s="260">
        <v>25</v>
      </c>
      <c r="C55" s="260">
        <v>20</v>
      </c>
      <c r="D55" s="260">
        <v>17</v>
      </c>
      <c r="E55" s="325">
        <f t="shared" si="1"/>
        <v>3</v>
      </c>
    </row>
    <row r="56" spans="1:6" ht="19.5" customHeight="1">
      <c r="A56" s="244" t="s">
        <v>92</v>
      </c>
      <c r="B56" s="260">
        <v>15</v>
      </c>
      <c r="C56" s="260">
        <v>15</v>
      </c>
      <c r="D56" s="260">
        <v>10</v>
      </c>
      <c r="E56" s="325">
        <f t="shared" si="1"/>
        <v>5</v>
      </c>
    </row>
    <row r="57" spans="1:6" ht="19.5" customHeight="1">
      <c r="A57" s="311" t="s">
        <v>93</v>
      </c>
      <c r="B57" s="242">
        <v>5</v>
      </c>
      <c r="C57" s="242">
        <v>5</v>
      </c>
      <c r="D57" s="242">
        <v>4</v>
      </c>
      <c r="E57" s="325">
        <f t="shared" si="1"/>
        <v>1</v>
      </c>
    </row>
    <row r="58" spans="1:6" ht="19.5" customHeight="1">
      <c r="A58" s="244" t="s">
        <v>95</v>
      </c>
      <c r="B58" s="242">
        <v>0</v>
      </c>
      <c r="C58" s="242">
        <v>0</v>
      </c>
      <c r="D58" s="242">
        <v>0</v>
      </c>
      <c r="E58" s="325">
        <f>C58-D58</f>
        <v>0</v>
      </c>
    </row>
    <row r="59" spans="1:6" ht="19.5" customHeight="1">
      <c r="A59" s="244" t="s">
        <v>96</v>
      </c>
      <c r="B59" s="242">
        <v>25</v>
      </c>
      <c r="C59" s="242">
        <v>17</v>
      </c>
      <c r="D59" s="242">
        <v>28</v>
      </c>
      <c r="E59" s="325">
        <f>C59-D59</f>
        <v>-11</v>
      </c>
      <c r="F59" s="402" t="s">
        <v>501</v>
      </c>
    </row>
    <row r="60" spans="1:6" ht="19.5" customHeight="1">
      <c r="A60" s="244" t="s">
        <v>97</v>
      </c>
      <c r="B60" s="242">
        <v>318</v>
      </c>
      <c r="C60" s="242">
        <v>314</v>
      </c>
      <c r="D60" s="242">
        <v>278</v>
      </c>
      <c r="E60" s="325">
        <f>C60-D60</f>
        <v>36</v>
      </c>
    </row>
    <row r="61" spans="1:6" ht="19.5" customHeight="1">
      <c r="A61" s="244" t="s">
        <v>123</v>
      </c>
      <c r="B61" s="242">
        <v>157</v>
      </c>
      <c r="C61" s="242">
        <v>102</v>
      </c>
      <c r="D61" s="242">
        <v>94</v>
      </c>
      <c r="E61" s="325">
        <f>C61-D61</f>
        <v>8</v>
      </c>
    </row>
    <row r="62" spans="1:6" ht="19.5" customHeight="1">
      <c r="A62" s="244" t="s">
        <v>100</v>
      </c>
      <c r="B62" s="242">
        <v>300</v>
      </c>
      <c r="C62" s="242">
        <v>205</v>
      </c>
      <c r="D62" s="242">
        <v>186</v>
      </c>
      <c r="E62" s="325">
        <f t="shared" ref="E62:E67" si="2">C62-D62</f>
        <v>19</v>
      </c>
    </row>
    <row r="63" spans="1:6" ht="19.5" customHeight="1">
      <c r="A63" s="244" t="s">
        <v>101</v>
      </c>
      <c r="B63" s="242">
        <v>100</v>
      </c>
      <c r="C63" s="242">
        <v>93</v>
      </c>
      <c r="D63" s="242">
        <v>67</v>
      </c>
      <c r="E63" s="325">
        <f t="shared" si="2"/>
        <v>26</v>
      </c>
    </row>
    <row r="64" spans="1:6" ht="19.5" customHeight="1">
      <c r="A64" s="244" t="s">
        <v>102</v>
      </c>
      <c r="B64" s="242">
        <v>25</v>
      </c>
      <c r="C64" s="242">
        <v>6</v>
      </c>
      <c r="D64" s="242">
        <v>4</v>
      </c>
      <c r="E64" s="325">
        <f t="shared" si="2"/>
        <v>2</v>
      </c>
    </row>
    <row r="65" spans="1:6" ht="19.5" customHeight="1">
      <c r="A65" s="290" t="s">
        <v>104</v>
      </c>
      <c r="B65" s="242">
        <v>10</v>
      </c>
      <c r="C65" s="242">
        <v>10</v>
      </c>
      <c r="D65" s="242">
        <v>10</v>
      </c>
      <c r="E65" s="325">
        <f t="shared" si="2"/>
        <v>0</v>
      </c>
    </row>
    <row r="66" spans="1:6" ht="19.5" customHeight="1">
      <c r="A66" s="244" t="s">
        <v>105</v>
      </c>
      <c r="B66" s="242">
        <v>20</v>
      </c>
      <c r="C66" s="242">
        <v>18</v>
      </c>
      <c r="D66" s="242">
        <v>13</v>
      </c>
      <c r="E66" s="325">
        <f t="shared" si="2"/>
        <v>5</v>
      </c>
    </row>
    <row r="67" spans="1:6" ht="19.5" customHeight="1">
      <c r="A67" s="311" t="s">
        <v>106</v>
      </c>
      <c r="B67" s="242">
        <v>35</v>
      </c>
      <c r="C67" s="242">
        <v>33</v>
      </c>
      <c r="D67" s="242">
        <v>33</v>
      </c>
      <c r="E67" s="325">
        <f t="shared" si="2"/>
        <v>0</v>
      </c>
    </row>
    <row r="68" spans="1:6" ht="19.5" customHeight="1">
      <c r="A68" s="312" t="s">
        <v>14</v>
      </c>
      <c r="B68" s="313">
        <f>SUM(B51:B67)</f>
        <v>1320</v>
      </c>
      <c r="C68" s="313">
        <f>SUM(C51:C67)</f>
        <v>1116</v>
      </c>
      <c r="D68" s="313">
        <f>SUM(D51:D67)</f>
        <v>980</v>
      </c>
      <c r="E68" s="314">
        <f>SUM(E51:E67)</f>
        <v>136</v>
      </c>
    </row>
    <row r="69" spans="1:6" ht="19.5" customHeight="1">
      <c r="A69" s="244"/>
      <c r="D69" s="242"/>
      <c r="E69" s="315"/>
    </row>
    <row r="70" spans="1:6" ht="19.5" customHeight="1">
      <c r="A70" s="488" t="s">
        <v>124</v>
      </c>
      <c r="B70" s="489"/>
      <c r="C70" s="489"/>
      <c r="D70" s="489"/>
      <c r="E70" s="490"/>
    </row>
    <row r="71" spans="1:6" ht="104.1" customHeight="1">
      <c r="A71" s="306" t="s">
        <v>81</v>
      </c>
      <c r="B71" s="307" t="str">
        <f>B50</f>
        <v>Nº de Consultas disponibilizadas para Regulação</v>
      </c>
      <c r="C71" s="307" t="str">
        <f>C50</f>
        <v>Nº de Consultas agendadas com os pacientes oriundos da Regulação</v>
      </c>
      <c r="D71" s="307" t="str">
        <f>D50</f>
        <v>Nº de Consultas Realizadas com os pacientes oriundos da Regulação**</v>
      </c>
      <c r="E71" s="326" t="str">
        <f>E50</f>
        <v>Nº de Pacientes Faltantes oriundos do agendamento da Regulação</v>
      </c>
    </row>
    <row r="72" spans="1:6" ht="51" customHeight="1">
      <c r="A72" s="311" t="s">
        <v>110</v>
      </c>
      <c r="B72" s="242">
        <v>40</v>
      </c>
      <c r="C72" s="242">
        <v>23</v>
      </c>
      <c r="D72" s="242">
        <v>13</v>
      </c>
      <c r="E72" s="325">
        <f>C72-D72</f>
        <v>10</v>
      </c>
    </row>
    <row r="73" spans="1:6" ht="19.5" customHeight="1">
      <c r="A73" s="312" t="s">
        <v>14</v>
      </c>
      <c r="B73" s="313">
        <f>SUM(B72:B72)</f>
        <v>40</v>
      </c>
      <c r="C73" s="313">
        <f>SUM(C72:C72)</f>
        <v>23</v>
      </c>
      <c r="D73" s="313">
        <f>SUM(D72:D72)</f>
        <v>13</v>
      </c>
      <c r="E73" s="314">
        <f>SUM(E72:E72)</f>
        <v>10</v>
      </c>
    </row>
    <row r="74" spans="1:6" ht="19.5" customHeight="1">
      <c r="A74" s="244"/>
      <c r="E74" s="315"/>
    </row>
    <row r="75" spans="1:6" ht="19.5" customHeight="1">
      <c r="A75" s="488" t="s">
        <v>125</v>
      </c>
      <c r="B75" s="489"/>
      <c r="C75" s="489"/>
      <c r="D75" s="489"/>
      <c r="E75" s="490"/>
    </row>
    <row r="76" spans="1:6" ht="90" customHeight="1">
      <c r="A76" s="306" t="s">
        <v>81</v>
      </c>
      <c r="B76" s="307" t="str">
        <f>B71</f>
        <v>Nº de Consultas disponibilizadas para Regulação</v>
      </c>
      <c r="C76" s="307" t="str">
        <f>C71</f>
        <v>Nº de Consultas agendadas com os pacientes oriundos da Regulação</v>
      </c>
      <c r="D76" s="307" t="str">
        <f>D71</f>
        <v>Nº de Consultas Realizadas com os pacientes oriundos da Regulação**</v>
      </c>
      <c r="E76" s="326" t="str">
        <f>E71</f>
        <v>Nº de Pacientes Faltantes oriundos do agendamento da Regulação</v>
      </c>
    </row>
    <row r="77" spans="1:6" ht="19.5" customHeight="1">
      <c r="A77" s="311" t="s">
        <v>113</v>
      </c>
      <c r="B77" s="242">
        <v>3</v>
      </c>
      <c r="C77" s="242">
        <v>0</v>
      </c>
      <c r="D77" s="242">
        <v>0</v>
      </c>
      <c r="E77" s="325">
        <f>C77-D77</f>
        <v>0</v>
      </c>
      <c r="F77" s="241" t="s">
        <v>500</v>
      </c>
    </row>
    <row r="78" spans="1:6" ht="19.5" customHeight="1">
      <c r="A78" s="312" t="s">
        <v>14</v>
      </c>
      <c r="B78" s="313">
        <f>SUM(B77:B77)</f>
        <v>3</v>
      </c>
      <c r="C78" s="313">
        <f>SUM(C77:C77)</f>
        <v>0</v>
      </c>
      <c r="D78" s="313">
        <f>SUM(D77:D77)</f>
        <v>0</v>
      </c>
      <c r="E78" s="314">
        <f>SUM(E77:E77)</f>
        <v>0</v>
      </c>
    </row>
  </sheetData>
  <mergeCells count="9">
    <mergeCell ref="A47:E47"/>
    <mergeCell ref="A48:E48"/>
    <mergeCell ref="A70:E70"/>
    <mergeCell ref="A75:E75"/>
    <mergeCell ref="A1:E1"/>
    <mergeCell ref="A6:E6"/>
    <mergeCell ref="A7:E7"/>
    <mergeCell ref="A33:D33"/>
    <mergeCell ref="A39:D39"/>
  </mergeCells>
  <pageMargins left="0.196850393700787" right="0.196850393700787" top="0.98425196850393704" bottom="0.27559055118110198" header="0.31496062992126" footer="0.31496062992126"/>
  <pageSetup paperSize="9" scale="52" orientation="landscape" r:id="rId1"/>
  <headerFooter alignWithMargins="0"/>
  <rowBreaks count="2" manualBreakCount="2">
    <brk id="45" max="4" man="1"/>
    <brk id="7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74"/>
  <sheetViews>
    <sheetView showGridLines="0" zoomScaleNormal="100" zoomScaleSheetLayoutView="100" workbookViewId="0">
      <selection activeCell="F11" sqref="F11"/>
    </sheetView>
  </sheetViews>
  <sheetFormatPr defaultColWidth="28" defaultRowHeight="18" customHeight="1"/>
  <cols>
    <col min="1" max="1" width="30.85546875" style="241" customWidth="1"/>
    <col min="2" max="2" width="14.7109375" style="241" customWidth="1"/>
    <col min="3" max="3" width="18.28515625" style="241" customWidth="1"/>
    <col min="4" max="4" width="22.5703125" style="241" customWidth="1"/>
    <col min="5" max="16384" width="28" style="241"/>
  </cols>
  <sheetData>
    <row r="1" spans="1:15" ht="19.5" customHeight="1">
      <c r="A1" s="497" t="s">
        <v>126</v>
      </c>
      <c r="B1" s="498"/>
      <c r="C1" s="498"/>
      <c r="D1" s="498"/>
      <c r="E1" s="498"/>
      <c r="F1" s="498"/>
      <c r="G1" s="243"/>
      <c r="H1" s="243"/>
      <c r="I1" s="243"/>
      <c r="J1" s="243"/>
      <c r="K1" s="243"/>
      <c r="L1" s="243"/>
      <c r="M1" s="274"/>
      <c r="N1" s="275"/>
      <c r="O1" s="275"/>
    </row>
    <row r="2" spans="1:15" ht="18" customHeight="1">
      <c r="A2" s="244"/>
    </row>
    <row r="3" spans="1:15" ht="18" customHeight="1">
      <c r="A3" s="245" t="s">
        <v>6</v>
      </c>
      <c r="B3" s="468" t="s">
        <v>3</v>
      </c>
      <c r="C3" s="468"/>
      <c r="D3" s="468"/>
    </row>
    <row r="4" spans="1:15" ht="18" customHeight="1">
      <c r="A4" s="245" t="s">
        <v>7</v>
      </c>
      <c r="B4" s="469">
        <f>Leitos!B4</f>
        <v>45931</v>
      </c>
      <c r="C4" s="469"/>
      <c r="D4" s="469"/>
    </row>
    <row r="6" spans="1:15" ht="18" customHeight="1">
      <c r="A6" s="470" t="s">
        <v>127</v>
      </c>
      <c r="B6" s="471"/>
      <c r="C6" s="471"/>
      <c r="D6" s="472"/>
    </row>
    <row r="7" spans="1:15" ht="48" customHeight="1">
      <c r="A7" s="276"/>
      <c r="B7" s="277" t="s">
        <v>128</v>
      </c>
      <c r="C7" s="277" t="s">
        <v>129</v>
      </c>
      <c r="D7" s="278" t="s">
        <v>130</v>
      </c>
    </row>
    <row r="8" spans="1:15" ht="18" customHeight="1">
      <c r="A8" s="279" t="s">
        <v>131</v>
      </c>
      <c r="B8" s="242">
        <v>69</v>
      </c>
      <c r="C8" s="242">
        <v>37</v>
      </c>
      <c r="D8" s="280">
        <f t="shared" ref="D8:D15" si="0">SUM(B8:C8)</f>
        <v>106</v>
      </c>
    </row>
    <row r="9" spans="1:15" ht="18" customHeight="1">
      <c r="A9" s="279" t="s">
        <v>132</v>
      </c>
      <c r="B9" s="242">
        <v>242</v>
      </c>
      <c r="C9" s="242">
        <v>20</v>
      </c>
      <c r="D9" s="280">
        <f t="shared" si="0"/>
        <v>262</v>
      </c>
    </row>
    <row r="10" spans="1:15" ht="18" customHeight="1">
      <c r="A10" s="279" t="s">
        <v>133</v>
      </c>
      <c r="B10" s="242">
        <v>0</v>
      </c>
      <c r="C10" s="242">
        <v>1358</v>
      </c>
      <c r="D10" s="280">
        <f t="shared" si="0"/>
        <v>1358</v>
      </c>
    </row>
    <row r="11" spans="1:15" ht="18" customHeight="1">
      <c r="A11" s="279" t="s">
        <v>134</v>
      </c>
      <c r="B11" s="242">
        <v>227</v>
      </c>
      <c r="C11" s="242">
        <v>35</v>
      </c>
      <c r="D11" s="280">
        <f t="shared" si="0"/>
        <v>262</v>
      </c>
    </row>
    <row r="12" spans="1:15" ht="18" customHeight="1">
      <c r="A12" s="279" t="s">
        <v>135</v>
      </c>
      <c r="B12" s="242">
        <v>911</v>
      </c>
      <c r="C12" s="242">
        <v>343</v>
      </c>
      <c r="D12" s="280">
        <f t="shared" si="0"/>
        <v>1254</v>
      </c>
    </row>
    <row r="13" spans="1:15" ht="18" customHeight="1">
      <c r="A13" s="279" t="s">
        <v>136</v>
      </c>
      <c r="B13" s="242">
        <v>5</v>
      </c>
      <c r="C13" s="242">
        <v>0</v>
      </c>
      <c r="D13" s="280">
        <f t="shared" si="0"/>
        <v>5</v>
      </c>
    </row>
    <row r="14" spans="1:15" ht="18" customHeight="1">
      <c r="A14" s="279" t="s">
        <v>137</v>
      </c>
      <c r="B14" s="242">
        <v>122</v>
      </c>
      <c r="C14" s="242">
        <v>326</v>
      </c>
      <c r="D14" s="280">
        <f t="shared" si="0"/>
        <v>448</v>
      </c>
    </row>
    <row r="15" spans="1:15" ht="18" customHeight="1">
      <c r="A15" s="279" t="s">
        <v>138</v>
      </c>
      <c r="B15" s="242">
        <v>261</v>
      </c>
      <c r="C15" s="242">
        <v>215</v>
      </c>
      <c r="D15" s="280">
        <f t="shared" si="0"/>
        <v>476</v>
      </c>
    </row>
    <row r="16" spans="1:15" ht="18" customHeight="1">
      <c r="A16" s="281" t="s">
        <v>14</v>
      </c>
      <c r="B16" s="282">
        <f>SUM(B8:B15)</f>
        <v>1837</v>
      </c>
      <c r="C16" s="282">
        <f>SUM(C8:C15)</f>
        <v>2334</v>
      </c>
      <c r="D16" s="283">
        <f>SUM(D8:D15)</f>
        <v>4171</v>
      </c>
    </row>
    <row r="17" spans="1:6" ht="57.95" customHeight="1">
      <c r="A17" s="499" t="s">
        <v>139</v>
      </c>
      <c r="B17" s="499"/>
      <c r="C17" s="499"/>
      <c r="D17" s="499"/>
    </row>
    <row r="18" spans="1:6" ht="15" customHeight="1">
      <c r="A18" s="284"/>
      <c r="B18" s="284"/>
      <c r="C18" s="284"/>
      <c r="D18" s="284"/>
    </row>
    <row r="19" spans="1:6" ht="15" customHeight="1">
      <c r="A19" s="500" t="s">
        <v>140</v>
      </c>
      <c r="B19" s="501"/>
      <c r="C19" s="501"/>
      <c r="D19" s="501"/>
      <c r="E19" s="501"/>
      <c r="F19" s="502"/>
    </row>
    <row r="20" spans="1:6" ht="15" customHeight="1">
      <c r="A20" s="514" t="s">
        <v>81</v>
      </c>
      <c r="B20" s="515"/>
      <c r="C20" s="505" t="s">
        <v>141</v>
      </c>
      <c r="D20" s="505" t="s">
        <v>142</v>
      </c>
      <c r="E20" s="505" t="s">
        <v>143</v>
      </c>
      <c r="F20" s="507" t="s">
        <v>144</v>
      </c>
    </row>
    <row r="21" spans="1:6" ht="32.1" customHeight="1">
      <c r="A21" s="516"/>
      <c r="B21" s="517"/>
      <c r="C21" s="506"/>
      <c r="D21" s="506"/>
      <c r="E21" s="506"/>
      <c r="F21" s="508"/>
    </row>
    <row r="22" spans="1:6" ht="15" customHeight="1">
      <c r="A22" s="503" t="str">
        <f>A8</f>
        <v>Colonoscopia</v>
      </c>
      <c r="B22" s="504"/>
      <c r="C22" s="285">
        <v>100</v>
      </c>
      <c r="D22" s="285">
        <v>98</v>
      </c>
      <c r="E22" s="285">
        <v>69</v>
      </c>
      <c r="F22" s="286">
        <f>D22-E22</f>
        <v>29</v>
      </c>
    </row>
    <row r="23" spans="1:6" ht="15" customHeight="1">
      <c r="A23" s="503" t="str">
        <f t="shared" ref="A23:A30" si="1">A9</f>
        <v>Endoscopia</v>
      </c>
      <c r="B23" s="504"/>
      <c r="C23" s="285">
        <v>271</v>
      </c>
      <c r="D23" s="285">
        <v>266</v>
      </c>
      <c r="E23" s="285">
        <v>242</v>
      </c>
      <c r="F23" s="286">
        <f t="shared" ref="F23:F29" si="2">D23-E23</f>
        <v>24</v>
      </c>
    </row>
    <row r="24" spans="1:6" ht="15" customHeight="1">
      <c r="A24" s="503" t="str">
        <f t="shared" si="1"/>
        <v>Exames de Anatomia Patológica</v>
      </c>
      <c r="B24" s="504"/>
      <c r="C24" s="285">
        <v>0</v>
      </c>
      <c r="D24" s="285">
        <v>0</v>
      </c>
      <c r="E24" s="285">
        <v>0</v>
      </c>
      <c r="F24" s="286">
        <f t="shared" si="2"/>
        <v>0</v>
      </c>
    </row>
    <row r="25" spans="1:6" ht="15" customHeight="1">
      <c r="A25" s="503" t="str">
        <f t="shared" si="1"/>
        <v>Mamografia</v>
      </c>
      <c r="B25" s="504"/>
      <c r="C25" s="285">
        <v>274</v>
      </c>
      <c r="D25" s="285">
        <v>260</v>
      </c>
      <c r="E25" s="285">
        <v>227</v>
      </c>
      <c r="F25" s="286">
        <f t="shared" si="2"/>
        <v>33</v>
      </c>
    </row>
    <row r="26" spans="1:6" ht="15" customHeight="1">
      <c r="A26" s="503" t="str">
        <f t="shared" si="1"/>
        <v>Radiologia</v>
      </c>
      <c r="B26" s="504"/>
      <c r="C26" s="401">
        <v>1000</v>
      </c>
      <c r="D26" s="401">
        <v>1056</v>
      </c>
      <c r="E26" s="401">
        <v>911</v>
      </c>
      <c r="F26" s="286">
        <f t="shared" si="2"/>
        <v>145</v>
      </c>
    </row>
    <row r="27" spans="1:6" ht="15" customHeight="1">
      <c r="A27" s="503" t="str">
        <f t="shared" si="1"/>
        <v>Retinografia Colorida Binocular</v>
      </c>
      <c r="B27" s="504"/>
      <c r="C27" s="285">
        <v>10</v>
      </c>
      <c r="D27" s="285">
        <v>10</v>
      </c>
      <c r="E27" s="285">
        <v>5</v>
      </c>
      <c r="F27" s="286">
        <f t="shared" si="2"/>
        <v>5</v>
      </c>
    </row>
    <row r="28" spans="1:6" ht="15" customHeight="1">
      <c r="A28" s="503" t="str">
        <f t="shared" si="1"/>
        <v>Tomografia/Angiotomografia</v>
      </c>
      <c r="B28" s="504"/>
      <c r="C28" s="285">
        <v>161</v>
      </c>
      <c r="D28" s="285">
        <v>134</v>
      </c>
      <c r="E28" s="285">
        <v>122</v>
      </c>
      <c r="F28" s="286">
        <f t="shared" si="2"/>
        <v>12</v>
      </c>
    </row>
    <row r="29" spans="1:6" ht="15" customHeight="1">
      <c r="A29" s="503" t="str">
        <f t="shared" si="1"/>
        <v>Ultrassonografia</v>
      </c>
      <c r="B29" s="504"/>
      <c r="C29" s="285">
        <v>600</v>
      </c>
      <c r="D29" s="285">
        <v>306</v>
      </c>
      <c r="E29" s="285">
        <v>261</v>
      </c>
      <c r="F29" s="286">
        <f t="shared" si="2"/>
        <v>45</v>
      </c>
    </row>
    <row r="30" spans="1:6" ht="15" customHeight="1">
      <c r="A30" s="518" t="str">
        <f t="shared" si="1"/>
        <v>Total</v>
      </c>
      <c r="B30" s="519"/>
      <c r="C30" s="282">
        <f>SUM(C22:C29)</f>
        <v>2416</v>
      </c>
      <c r="D30" s="282">
        <f>SUM(D22:D29)</f>
        <v>2130</v>
      </c>
      <c r="E30" s="282">
        <f>SUM(E22:E29)</f>
        <v>1837</v>
      </c>
      <c r="F30" s="283">
        <f>SUM(F22:F29)</f>
        <v>293</v>
      </c>
    </row>
    <row r="31" spans="1:6" ht="15" customHeight="1">
      <c r="A31" s="503"/>
      <c r="B31" s="504"/>
      <c r="C31" s="284"/>
      <c r="D31" s="284"/>
    </row>
    <row r="32" spans="1:6" ht="18" customHeight="1">
      <c r="A32" s="509" t="s">
        <v>145</v>
      </c>
      <c r="B32" s="510"/>
      <c r="C32" s="510"/>
      <c r="D32" s="511"/>
    </row>
    <row r="33" spans="1:5" ht="18" customHeight="1">
      <c r="A33" s="287"/>
      <c r="B33" s="288"/>
      <c r="C33" s="288"/>
      <c r="D33" s="289" t="s">
        <v>146</v>
      </c>
    </row>
    <row r="34" spans="1:5" ht="18" customHeight="1">
      <c r="A34" s="290" t="s">
        <v>147</v>
      </c>
      <c r="B34" s="288"/>
      <c r="C34" s="288"/>
      <c r="D34" s="291">
        <v>348</v>
      </c>
    </row>
    <row r="35" spans="1:5" ht="18" customHeight="1">
      <c r="A35" s="290" t="s">
        <v>148</v>
      </c>
      <c r="B35" s="288"/>
      <c r="C35" s="288"/>
      <c r="D35" s="291">
        <v>224</v>
      </c>
    </row>
    <row r="36" spans="1:5" ht="18" customHeight="1">
      <c r="A36" s="290" t="s">
        <v>149</v>
      </c>
      <c r="B36" s="288"/>
      <c r="C36" s="288"/>
      <c r="D36" s="291">
        <v>9</v>
      </c>
    </row>
    <row r="37" spans="1:5" ht="18" customHeight="1">
      <c r="A37" s="290" t="s">
        <v>150</v>
      </c>
      <c r="B37" s="288"/>
      <c r="C37" s="288"/>
      <c r="D37" s="291">
        <v>19</v>
      </c>
    </row>
    <row r="38" spans="1:5" ht="18" customHeight="1">
      <c r="A38" s="290" t="s">
        <v>151</v>
      </c>
      <c r="B38" s="288"/>
      <c r="C38" s="288"/>
      <c r="D38" s="291">
        <v>0</v>
      </c>
      <c r="E38" s="292"/>
    </row>
    <row r="39" spans="1:5" ht="18" customHeight="1">
      <c r="A39" s="290" t="s">
        <v>152</v>
      </c>
      <c r="B39" s="288"/>
      <c r="C39" s="288"/>
      <c r="D39" s="293">
        <v>335</v>
      </c>
    </row>
    <row r="40" spans="1:5" ht="18" customHeight="1">
      <c r="A40" s="290" t="s">
        <v>153</v>
      </c>
      <c r="B40" s="288"/>
      <c r="C40" s="288"/>
      <c r="D40" s="268">
        <v>201</v>
      </c>
    </row>
    <row r="41" spans="1:5" ht="18" customHeight="1">
      <c r="A41" s="294" t="s">
        <v>154</v>
      </c>
      <c r="B41" s="295"/>
      <c r="C41" s="295"/>
      <c r="D41" s="296">
        <v>86</v>
      </c>
    </row>
    <row r="42" spans="1:5" ht="18" customHeight="1">
      <c r="A42" s="290" t="s">
        <v>155</v>
      </c>
      <c r="B42" s="288"/>
      <c r="C42" s="288"/>
      <c r="D42" s="268">
        <v>7593</v>
      </c>
    </row>
    <row r="43" spans="1:5" ht="18" customHeight="1">
      <c r="A43" s="297" t="s">
        <v>14</v>
      </c>
      <c r="B43" s="298"/>
      <c r="C43" s="298"/>
      <c r="D43" s="299">
        <f>SUM(D34:D42)</f>
        <v>8815</v>
      </c>
    </row>
    <row r="44" spans="1:5" ht="18" customHeight="1">
      <c r="A44" s="290"/>
      <c r="B44" s="288"/>
      <c r="C44" s="288"/>
      <c r="D44" s="300"/>
    </row>
    <row r="45" spans="1:5" ht="18" customHeight="1">
      <c r="A45" s="509" t="s">
        <v>156</v>
      </c>
      <c r="B45" s="510"/>
      <c r="C45" s="510"/>
      <c r="D45" s="511"/>
    </row>
    <row r="46" spans="1:5" ht="18" customHeight="1">
      <c r="A46" s="512"/>
      <c r="B46" s="513"/>
      <c r="C46" s="513"/>
      <c r="D46" s="289" t="s">
        <v>146</v>
      </c>
    </row>
    <row r="47" spans="1:5" ht="18" customHeight="1">
      <c r="A47" s="290" t="s">
        <v>147</v>
      </c>
      <c r="B47" s="288"/>
      <c r="C47" s="288"/>
      <c r="D47" s="268">
        <v>300</v>
      </c>
    </row>
    <row r="48" spans="1:5" ht="18" customHeight="1">
      <c r="A48" s="290" t="s">
        <v>148</v>
      </c>
      <c r="B48" s="288"/>
      <c r="C48" s="288"/>
      <c r="D48" s="268">
        <v>224</v>
      </c>
    </row>
    <row r="49" spans="1:5" ht="18" customHeight="1">
      <c r="A49" s="290" t="s">
        <v>149</v>
      </c>
      <c r="B49" s="288"/>
      <c r="C49" s="288"/>
      <c r="D49" s="268">
        <v>2</v>
      </c>
    </row>
    <row r="50" spans="1:5" ht="18" customHeight="1">
      <c r="A50" s="290" t="s">
        <v>150</v>
      </c>
      <c r="B50" s="288"/>
      <c r="C50" s="288"/>
      <c r="D50" s="268">
        <v>18</v>
      </c>
    </row>
    <row r="51" spans="1:5" ht="18" customHeight="1">
      <c r="A51" s="290" t="s">
        <v>151</v>
      </c>
      <c r="B51" s="288"/>
      <c r="C51" s="288"/>
      <c r="D51" s="268">
        <v>0</v>
      </c>
    </row>
    <row r="52" spans="1:5" ht="18" customHeight="1">
      <c r="A52" s="290" t="s">
        <v>152</v>
      </c>
      <c r="B52" s="288"/>
      <c r="C52" s="288"/>
      <c r="D52" s="291">
        <v>1237</v>
      </c>
    </row>
    <row r="53" spans="1:5" ht="18" customHeight="1">
      <c r="A53" s="290" t="s">
        <v>153</v>
      </c>
      <c r="B53" s="288"/>
      <c r="C53" s="288"/>
      <c r="D53" s="291">
        <v>795</v>
      </c>
    </row>
    <row r="54" spans="1:5" ht="18" customHeight="1">
      <c r="A54" s="294" t="s">
        <v>154</v>
      </c>
      <c r="B54" s="295"/>
      <c r="C54" s="295"/>
      <c r="D54" s="296">
        <v>174</v>
      </c>
    </row>
    <row r="55" spans="1:5" ht="18" customHeight="1">
      <c r="A55" s="290" t="s">
        <v>155</v>
      </c>
      <c r="B55" s="288"/>
      <c r="C55" s="288"/>
      <c r="D55" s="291">
        <v>7924</v>
      </c>
    </row>
    <row r="56" spans="1:5" ht="18" customHeight="1">
      <c r="A56" s="297" t="s">
        <v>14</v>
      </c>
      <c r="B56" s="298"/>
      <c r="C56" s="298"/>
      <c r="D56" s="299">
        <f>SUM(D47:D55)</f>
        <v>10674</v>
      </c>
    </row>
    <row r="57" spans="1:5" ht="18" customHeight="1">
      <c r="A57" s="290"/>
      <c r="B57" s="288"/>
      <c r="C57" s="288"/>
      <c r="D57" s="301"/>
    </row>
    <row r="58" spans="1:5" ht="18" customHeight="1">
      <c r="A58" s="290"/>
      <c r="B58" s="288"/>
      <c r="C58" s="288"/>
      <c r="D58" s="288"/>
    </row>
    <row r="60" spans="1:5" ht="18" customHeight="1">
      <c r="A60" s="290"/>
      <c r="B60" s="288"/>
      <c r="C60" s="288"/>
      <c r="D60" s="288"/>
    </row>
    <row r="64" spans="1:5" ht="48" customHeight="1">
      <c r="E64" s="302"/>
    </row>
    <row r="65" spans="5:5" ht="18" customHeight="1">
      <c r="E65" s="302"/>
    </row>
    <row r="74" spans="5:5" ht="60" customHeight="1"/>
  </sheetData>
  <mergeCells count="24">
    <mergeCell ref="A31:B31"/>
    <mergeCell ref="A32:D32"/>
    <mergeCell ref="A45:D45"/>
    <mergeCell ref="A46:C46"/>
    <mergeCell ref="C20:C21"/>
    <mergeCell ref="D20:D21"/>
    <mergeCell ref="A20:B21"/>
    <mergeCell ref="A26:B26"/>
    <mergeCell ref="A27:B27"/>
    <mergeCell ref="A28:B28"/>
    <mergeCell ref="A29:B29"/>
    <mergeCell ref="A30:B30"/>
    <mergeCell ref="A19:F19"/>
    <mergeCell ref="A22:B22"/>
    <mergeCell ref="A23:B23"/>
    <mergeCell ref="A24:B24"/>
    <mergeCell ref="A25:B25"/>
    <mergeCell ref="E20:E21"/>
    <mergeCell ref="F20:F21"/>
    <mergeCell ref="A1:F1"/>
    <mergeCell ref="B3:D3"/>
    <mergeCell ref="B4:D4"/>
    <mergeCell ref="A6:D6"/>
    <mergeCell ref="A17:D17"/>
  </mergeCells>
  <pageMargins left="0.196850393700787" right="0.196850393700787" top="0.57421875" bottom="0.27559055118110198" header="0.31496062992126" footer="0.31496062992126"/>
  <pageSetup paperSize="9" scale="45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97"/>
  <sheetViews>
    <sheetView view="pageBreakPreview" zoomScaleNormal="100" zoomScaleSheetLayoutView="100" zoomScalePageLayoutView="80" workbookViewId="0">
      <selection activeCell="I17" sqref="I17"/>
    </sheetView>
  </sheetViews>
  <sheetFormatPr defaultColWidth="9.140625" defaultRowHeight="19.5" customHeight="1"/>
  <cols>
    <col min="1" max="1" width="16.7109375" style="241" customWidth="1"/>
    <col min="2" max="2" width="73.42578125" style="241" customWidth="1"/>
    <col min="3" max="3" width="20.5703125" style="242" customWidth="1"/>
    <col min="4" max="4" width="4.140625" style="241" customWidth="1"/>
    <col min="5" max="16384" width="9.140625" style="241"/>
  </cols>
  <sheetData>
    <row r="1" spans="1:12" ht="19.5" customHeight="1">
      <c r="A1" s="446" t="s">
        <v>157</v>
      </c>
      <c r="B1" s="447"/>
      <c r="C1" s="447"/>
      <c r="D1" s="243"/>
      <c r="E1" s="243"/>
      <c r="F1" s="243"/>
      <c r="G1" s="243"/>
      <c r="H1" s="243"/>
      <c r="I1" s="243"/>
      <c r="J1" s="274"/>
      <c r="K1" s="275"/>
      <c r="L1" s="275"/>
    </row>
    <row r="2" spans="1:12" ht="19.5" customHeight="1">
      <c r="A2" s="244"/>
    </row>
    <row r="3" spans="1:12" ht="19.5" customHeight="1">
      <c r="A3" s="245" t="s">
        <v>6</v>
      </c>
      <c r="B3" s="520" t="s">
        <v>3</v>
      </c>
      <c r="C3" s="520"/>
    </row>
    <row r="4" spans="1:12" ht="19.5" customHeight="1">
      <c r="A4" s="245" t="s">
        <v>7</v>
      </c>
      <c r="B4" s="469">
        <f>Leitos!B4</f>
        <v>45931</v>
      </c>
      <c r="C4" s="469"/>
    </row>
    <row r="5" spans="1:12" ht="19.5" customHeight="1">
      <c r="A5" s="244"/>
    </row>
    <row r="6" spans="1:12" ht="19.5" customHeight="1">
      <c r="A6" s="521" t="s">
        <v>158</v>
      </c>
      <c r="B6" s="522"/>
      <c r="C6" s="523"/>
    </row>
    <row r="7" spans="1:12" ht="19.5" customHeight="1">
      <c r="A7" s="524"/>
      <c r="B7" s="525"/>
      <c r="C7" s="247" t="s">
        <v>42</v>
      </c>
    </row>
    <row r="8" spans="1:12" ht="19.5" customHeight="1">
      <c r="A8" s="526" t="s">
        <v>159</v>
      </c>
      <c r="B8" s="527"/>
      <c r="C8" s="248">
        <f>C157</f>
        <v>496</v>
      </c>
    </row>
    <row r="9" spans="1:12" ht="19.5" customHeight="1">
      <c r="A9" s="526" t="s">
        <v>160</v>
      </c>
      <c r="B9" s="527"/>
      <c r="C9" s="248">
        <f>C191</f>
        <v>69</v>
      </c>
    </row>
    <row r="10" spans="1:12" ht="19.5" customHeight="1">
      <c r="A10" s="528" t="s">
        <v>161</v>
      </c>
      <c r="B10" s="529"/>
      <c r="C10" s="249">
        <f>SUM(C8:C9)</f>
        <v>565</v>
      </c>
    </row>
    <row r="11" spans="1:12" ht="19.5" customHeight="1">
      <c r="A11" s="250"/>
      <c r="B11" s="251"/>
      <c r="C11" s="251"/>
    </row>
    <row r="12" spans="1:12" ht="19.5" customHeight="1">
      <c r="A12" s="530" t="s">
        <v>162</v>
      </c>
      <c r="B12" s="531"/>
      <c r="C12" s="532"/>
    </row>
    <row r="13" spans="1:12" ht="19.5" customHeight="1">
      <c r="A13" s="533"/>
      <c r="B13" s="534"/>
      <c r="C13" s="252" t="s">
        <v>42</v>
      </c>
    </row>
    <row r="14" spans="1:12" ht="19.5" customHeight="1">
      <c r="A14" s="535" t="s">
        <v>163</v>
      </c>
      <c r="B14" s="536"/>
      <c r="C14" s="253">
        <v>141</v>
      </c>
    </row>
    <row r="15" spans="1:12" ht="19.5" customHeight="1">
      <c r="A15" s="535" t="s">
        <v>164</v>
      </c>
      <c r="B15" s="536"/>
      <c r="C15" s="253">
        <v>424</v>
      </c>
    </row>
    <row r="16" spans="1:12" ht="19.5" customHeight="1">
      <c r="A16" s="528" t="s">
        <v>161</v>
      </c>
      <c r="B16" s="529"/>
      <c r="C16" s="254">
        <f>SUM(C14:C15)</f>
        <v>565</v>
      </c>
      <c r="D16" s="255" t="str">
        <f>IF(C16=C10,"ok","rever")</f>
        <v>ok</v>
      </c>
    </row>
    <row r="17" spans="1:3" ht="48.95" customHeight="1">
      <c r="A17" s="537" t="s">
        <v>165</v>
      </c>
      <c r="B17" s="538"/>
      <c r="C17" s="538"/>
    </row>
    <row r="18" spans="1:3" ht="19.5" customHeight="1">
      <c r="A18" s="539"/>
      <c r="B18" s="540"/>
      <c r="C18" s="256"/>
    </row>
    <row r="19" spans="1:3" ht="19.5" customHeight="1">
      <c r="A19" s="448" t="s">
        <v>166</v>
      </c>
      <c r="B19" s="449"/>
      <c r="C19" s="450"/>
    </row>
    <row r="20" spans="1:3" ht="19.5" customHeight="1">
      <c r="A20" s="541"/>
      <c r="B20" s="542"/>
      <c r="C20" s="257" t="s">
        <v>42</v>
      </c>
    </row>
    <row r="21" spans="1:3" ht="19.5" customHeight="1">
      <c r="A21" s="543" t="s">
        <v>167</v>
      </c>
      <c r="B21" s="544"/>
      <c r="C21" s="258">
        <f>C14/C16</f>
        <v>0.24955752212389382</v>
      </c>
    </row>
    <row r="22" spans="1:3" ht="19.5" customHeight="1">
      <c r="A22" s="545" t="s">
        <v>168</v>
      </c>
      <c r="B22" s="546"/>
      <c r="C22" s="259">
        <f>C15/C16</f>
        <v>0.75044247787610618</v>
      </c>
    </row>
    <row r="23" spans="1:3" ht="19.5" customHeight="1">
      <c r="A23" s="474"/>
      <c r="B23" s="474"/>
      <c r="C23" s="257"/>
    </row>
    <row r="24" spans="1:3" ht="19.5" customHeight="1">
      <c r="A24" s="530" t="s">
        <v>169</v>
      </c>
      <c r="B24" s="531"/>
      <c r="C24" s="532"/>
    </row>
    <row r="25" spans="1:3" ht="19.5" customHeight="1">
      <c r="A25" s="533"/>
      <c r="B25" s="534"/>
      <c r="C25" s="252" t="s">
        <v>42</v>
      </c>
    </row>
    <row r="26" spans="1:3" ht="19.5" customHeight="1">
      <c r="A26" s="551" t="s">
        <v>170</v>
      </c>
      <c r="B26" s="552"/>
      <c r="C26" s="261">
        <v>4</v>
      </c>
    </row>
    <row r="27" spans="1:3" ht="19.5" customHeight="1">
      <c r="A27" s="260"/>
      <c r="B27" s="260"/>
      <c r="C27" s="262"/>
    </row>
    <row r="29" spans="1:3" ht="19.5" customHeight="1">
      <c r="A29" s="530" t="s">
        <v>171</v>
      </c>
      <c r="B29" s="531"/>
      <c r="C29" s="532"/>
    </row>
    <row r="30" spans="1:3" ht="19.5" customHeight="1" thickBot="1">
      <c r="A30" s="263" t="s">
        <v>172</v>
      </c>
      <c r="B30" s="264" t="s">
        <v>173</v>
      </c>
      <c r="C30" s="265" t="s">
        <v>42</v>
      </c>
    </row>
    <row r="31" spans="1:3" ht="19.5" customHeight="1">
      <c r="A31" s="408" t="s">
        <v>564</v>
      </c>
      <c r="B31" s="409"/>
      <c r="C31" s="410">
        <v>38</v>
      </c>
    </row>
    <row r="32" spans="1:3" ht="19.5" customHeight="1">
      <c r="A32" s="411" t="s">
        <v>565</v>
      </c>
      <c r="B32" s="403"/>
      <c r="C32" s="412">
        <v>34</v>
      </c>
    </row>
    <row r="33" spans="1:3" ht="19.5" customHeight="1">
      <c r="A33" s="411" t="s">
        <v>566</v>
      </c>
      <c r="B33" s="403"/>
      <c r="C33" s="412">
        <v>28</v>
      </c>
    </row>
    <row r="34" spans="1:3" ht="19.5" customHeight="1">
      <c r="A34" s="411" t="s">
        <v>567</v>
      </c>
      <c r="B34" s="403"/>
      <c r="C34" s="412">
        <v>26</v>
      </c>
    </row>
    <row r="35" spans="1:3" ht="19.5" customHeight="1">
      <c r="A35" s="411" t="s">
        <v>568</v>
      </c>
      <c r="B35" s="403"/>
      <c r="C35" s="412">
        <v>17</v>
      </c>
    </row>
    <row r="36" spans="1:3" ht="19.5" customHeight="1">
      <c r="A36" s="411" t="s">
        <v>569</v>
      </c>
      <c r="B36" s="403"/>
      <c r="C36" s="412">
        <v>15</v>
      </c>
    </row>
    <row r="37" spans="1:3" ht="19.5" customHeight="1">
      <c r="A37" s="411" t="s">
        <v>570</v>
      </c>
      <c r="B37" s="403"/>
      <c r="C37" s="412">
        <v>15</v>
      </c>
    </row>
    <row r="38" spans="1:3" ht="19.5" customHeight="1">
      <c r="A38" s="411" t="s">
        <v>571</v>
      </c>
      <c r="B38" s="403"/>
      <c r="C38" s="412">
        <v>16</v>
      </c>
    </row>
    <row r="39" spans="1:3" ht="19.5" customHeight="1">
      <c r="A39" s="411" t="s">
        <v>572</v>
      </c>
      <c r="B39" s="403"/>
      <c r="C39" s="412">
        <v>12</v>
      </c>
    </row>
    <row r="40" spans="1:3" ht="19.5" customHeight="1">
      <c r="A40" s="411" t="s">
        <v>573</v>
      </c>
      <c r="B40" s="403"/>
      <c r="C40" s="412">
        <v>11</v>
      </c>
    </row>
    <row r="41" spans="1:3" ht="19.5" customHeight="1">
      <c r="A41" s="411" t="s">
        <v>574</v>
      </c>
      <c r="B41" s="403"/>
      <c r="C41" s="412">
        <v>9</v>
      </c>
    </row>
    <row r="42" spans="1:3" ht="19.5" customHeight="1">
      <c r="A42" s="411" t="s">
        <v>575</v>
      </c>
      <c r="B42" s="403"/>
      <c r="C42" s="412">
        <v>9</v>
      </c>
    </row>
    <row r="43" spans="1:3" ht="19.5" customHeight="1">
      <c r="A43" s="411" t="s">
        <v>576</v>
      </c>
      <c r="B43" s="403"/>
      <c r="C43" s="412">
        <v>8</v>
      </c>
    </row>
    <row r="44" spans="1:3" ht="19.5" customHeight="1">
      <c r="A44" s="411" t="s">
        <v>577</v>
      </c>
      <c r="B44" s="403"/>
      <c r="C44" s="412">
        <v>7</v>
      </c>
    </row>
    <row r="45" spans="1:3" ht="19.5" customHeight="1">
      <c r="A45" s="411" t="s">
        <v>578</v>
      </c>
      <c r="B45" s="403"/>
      <c r="C45" s="412">
        <v>7</v>
      </c>
    </row>
    <row r="46" spans="1:3" ht="19.5" customHeight="1">
      <c r="A46" s="411" t="s">
        <v>579</v>
      </c>
      <c r="B46" s="403"/>
      <c r="C46" s="412">
        <v>7</v>
      </c>
    </row>
    <row r="47" spans="1:3" ht="19.5" customHeight="1">
      <c r="A47" s="411" t="s">
        <v>580</v>
      </c>
      <c r="B47" s="403"/>
      <c r="C47" s="412">
        <v>7</v>
      </c>
    </row>
    <row r="48" spans="1:3" ht="19.5" customHeight="1">
      <c r="A48" s="411" t="s">
        <v>581</v>
      </c>
      <c r="B48" s="403"/>
      <c r="C48" s="412">
        <v>7</v>
      </c>
    </row>
    <row r="49" spans="1:3" ht="19.5" customHeight="1">
      <c r="A49" s="411" t="s">
        <v>582</v>
      </c>
      <c r="B49" s="403"/>
      <c r="C49" s="412">
        <v>7</v>
      </c>
    </row>
    <row r="50" spans="1:3" ht="19.5" customHeight="1">
      <c r="A50" s="411" t="s">
        <v>583</v>
      </c>
      <c r="B50" s="403"/>
      <c r="C50" s="412">
        <v>6</v>
      </c>
    </row>
    <row r="51" spans="1:3" ht="19.5" customHeight="1">
      <c r="A51" s="411" t="s">
        <v>584</v>
      </c>
      <c r="B51" s="403"/>
      <c r="C51" s="412">
        <v>6</v>
      </c>
    </row>
    <row r="52" spans="1:3" ht="19.5" customHeight="1">
      <c r="A52" s="411" t="s">
        <v>585</v>
      </c>
      <c r="B52" s="403"/>
      <c r="C52" s="412">
        <v>6</v>
      </c>
    </row>
    <row r="53" spans="1:3" ht="19.5" customHeight="1">
      <c r="A53" s="411" t="s">
        <v>586</v>
      </c>
      <c r="B53" s="403"/>
      <c r="C53" s="412">
        <v>6</v>
      </c>
    </row>
    <row r="54" spans="1:3" ht="19.5" customHeight="1">
      <c r="A54" s="411" t="s">
        <v>587</v>
      </c>
      <c r="B54" s="403"/>
      <c r="C54" s="412">
        <v>6</v>
      </c>
    </row>
    <row r="55" spans="1:3" ht="19.5" customHeight="1">
      <c r="A55" s="411" t="s">
        <v>588</v>
      </c>
      <c r="B55" s="403"/>
      <c r="C55" s="412">
        <v>5</v>
      </c>
    </row>
    <row r="56" spans="1:3" ht="19.5" customHeight="1">
      <c r="A56" s="411" t="s">
        <v>589</v>
      </c>
      <c r="B56" s="403"/>
      <c r="C56" s="412">
        <v>5</v>
      </c>
    </row>
    <row r="57" spans="1:3" ht="19.5" customHeight="1">
      <c r="A57" s="411" t="s">
        <v>590</v>
      </c>
      <c r="B57" s="403"/>
      <c r="C57" s="412">
        <v>5</v>
      </c>
    </row>
    <row r="58" spans="1:3" ht="19.5" customHeight="1">
      <c r="A58" s="411" t="s">
        <v>591</v>
      </c>
      <c r="B58" s="403"/>
      <c r="C58" s="412">
        <v>5</v>
      </c>
    </row>
    <row r="59" spans="1:3" ht="19.5" customHeight="1">
      <c r="A59" s="411" t="s">
        <v>592</v>
      </c>
      <c r="B59" s="403"/>
      <c r="C59" s="412">
        <v>5</v>
      </c>
    </row>
    <row r="60" spans="1:3" ht="19.5" customHeight="1">
      <c r="A60" s="411" t="s">
        <v>593</v>
      </c>
      <c r="B60" s="403"/>
      <c r="C60" s="412">
        <v>4</v>
      </c>
    </row>
    <row r="61" spans="1:3" ht="19.5" customHeight="1">
      <c r="A61" s="411" t="s">
        <v>594</v>
      </c>
      <c r="B61" s="403"/>
      <c r="C61" s="412">
        <v>4</v>
      </c>
    </row>
    <row r="62" spans="1:3" ht="19.5" customHeight="1">
      <c r="A62" s="411" t="s">
        <v>595</v>
      </c>
      <c r="B62" s="403"/>
      <c r="C62" s="412">
        <v>4</v>
      </c>
    </row>
    <row r="63" spans="1:3" ht="19.5" customHeight="1">
      <c r="A63" s="411" t="s">
        <v>596</v>
      </c>
      <c r="B63" s="403"/>
      <c r="C63" s="412">
        <v>4</v>
      </c>
    </row>
    <row r="64" spans="1:3" ht="19.5" customHeight="1">
      <c r="A64" s="411" t="s">
        <v>597</v>
      </c>
      <c r="B64" s="403"/>
      <c r="C64" s="412">
        <v>4</v>
      </c>
    </row>
    <row r="65" spans="1:3" ht="19.5" customHeight="1">
      <c r="A65" s="411" t="s">
        <v>598</v>
      </c>
      <c r="B65" s="403"/>
      <c r="C65" s="412">
        <v>4</v>
      </c>
    </row>
    <row r="66" spans="1:3" ht="19.5" customHeight="1">
      <c r="A66" s="411" t="s">
        <v>599</v>
      </c>
      <c r="B66" s="403"/>
      <c r="C66" s="412">
        <v>4</v>
      </c>
    </row>
    <row r="67" spans="1:3" ht="19.5" customHeight="1">
      <c r="A67" s="411" t="s">
        <v>600</v>
      </c>
      <c r="B67" s="403"/>
      <c r="C67" s="412">
        <v>3</v>
      </c>
    </row>
    <row r="68" spans="1:3" ht="19.5" customHeight="1">
      <c r="A68" s="411" t="s">
        <v>601</v>
      </c>
      <c r="B68" s="403"/>
      <c r="C68" s="412">
        <v>3</v>
      </c>
    </row>
    <row r="69" spans="1:3" ht="19.5" customHeight="1">
      <c r="A69" s="411" t="s">
        <v>602</v>
      </c>
      <c r="B69" s="403"/>
      <c r="C69" s="412">
        <v>3</v>
      </c>
    </row>
    <row r="70" spans="1:3" ht="19.5" customHeight="1">
      <c r="A70" s="411" t="s">
        <v>603</v>
      </c>
      <c r="B70" s="403"/>
      <c r="C70" s="412">
        <v>3</v>
      </c>
    </row>
    <row r="71" spans="1:3" ht="19.5" customHeight="1">
      <c r="A71" s="411" t="s">
        <v>604</v>
      </c>
      <c r="B71" s="403"/>
      <c r="C71" s="412">
        <v>3</v>
      </c>
    </row>
    <row r="72" spans="1:3" ht="19.5" customHeight="1">
      <c r="A72" s="411" t="s">
        <v>605</v>
      </c>
      <c r="B72" s="403"/>
      <c r="C72" s="412">
        <v>3</v>
      </c>
    </row>
    <row r="73" spans="1:3" ht="19.5" customHeight="1">
      <c r="A73" s="411" t="s">
        <v>606</v>
      </c>
      <c r="B73" s="403"/>
      <c r="C73" s="412">
        <v>3</v>
      </c>
    </row>
    <row r="74" spans="1:3" ht="19.5" customHeight="1">
      <c r="A74" s="411" t="s">
        <v>607</v>
      </c>
      <c r="B74" s="403"/>
      <c r="C74" s="412">
        <v>3</v>
      </c>
    </row>
    <row r="75" spans="1:3" ht="19.5" customHeight="1">
      <c r="A75" s="411" t="s">
        <v>608</v>
      </c>
      <c r="B75" s="403"/>
      <c r="C75" s="412">
        <v>3</v>
      </c>
    </row>
    <row r="76" spans="1:3" ht="19.5" customHeight="1">
      <c r="A76" s="411" t="s">
        <v>609</v>
      </c>
      <c r="B76" s="403"/>
      <c r="C76" s="412">
        <v>3</v>
      </c>
    </row>
    <row r="77" spans="1:3" ht="19.5" customHeight="1">
      <c r="A77" s="411" t="s">
        <v>610</v>
      </c>
      <c r="B77" s="403"/>
      <c r="C77" s="412">
        <v>2</v>
      </c>
    </row>
    <row r="78" spans="1:3" ht="19.5" customHeight="1">
      <c r="A78" s="411" t="s">
        <v>611</v>
      </c>
      <c r="B78" s="403"/>
      <c r="C78" s="412">
        <v>2</v>
      </c>
    </row>
    <row r="79" spans="1:3" ht="19.5" customHeight="1">
      <c r="A79" s="411" t="s">
        <v>612</v>
      </c>
      <c r="B79" s="403"/>
      <c r="C79" s="412">
        <v>2</v>
      </c>
    </row>
    <row r="80" spans="1:3" ht="19.5" customHeight="1">
      <c r="A80" s="411" t="s">
        <v>613</v>
      </c>
      <c r="B80" s="403"/>
      <c r="C80" s="412">
        <v>2</v>
      </c>
    </row>
    <row r="81" spans="1:3" ht="19.5" customHeight="1">
      <c r="A81" s="411" t="s">
        <v>614</v>
      </c>
      <c r="B81" s="403"/>
      <c r="C81" s="412">
        <v>2</v>
      </c>
    </row>
    <row r="82" spans="1:3" ht="19.5" customHeight="1">
      <c r="A82" s="411" t="s">
        <v>615</v>
      </c>
      <c r="B82" s="403"/>
      <c r="C82" s="412">
        <v>2</v>
      </c>
    </row>
    <row r="83" spans="1:3" ht="19.5" customHeight="1">
      <c r="A83" s="411" t="s">
        <v>616</v>
      </c>
      <c r="B83" s="403"/>
      <c r="C83" s="412">
        <v>2</v>
      </c>
    </row>
    <row r="84" spans="1:3" ht="19.5" customHeight="1">
      <c r="A84" s="411" t="s">
        <v>617</v>
      </c>
      <c r="B84" s="403"/>
      <c r="C84" s="412">
        <v>2</v>
      </c>
    </row>
    <row r="85" spans="1:3" ht="19.5" customHeight="1">
      <c r="A85" s="411" t="s">
        <v>618</v>
      </c>
      <c r="B85" s="403"/>
      <c r="C85" s="412">
        <v>2</v>
      </c>
    </row>
    <row r="86" spans="1:3" ht="19.5" customHeight="1">
      <c r="A86" s="411" t="s">
        <v>619</v>
      </c>
      <c r="B86" s="403"/>
      <c r="C86" s="412">
        <v>2</v>
      </c>
    </row>
    <row r="87" spans="1:3" ht="19.5" customHeight="1">
      <c r="A87" s="411" t="s">
        <v>620</v>
      </c>
      <c r="B87" s="403"/>
      <c r="C87" s="412">
        <v>2</v>
      </c>
    </row>
    <row r="88" spans="1:3" ht="19.5" customHeight="1">
      <c r="A88" s="411" t="s">
        <v>621</v>
      </c>
      <c r="B88" s="403"/>
      <c r="C88" s="412">
        <v>2</v>
      </c>
    </row>
    <row r="89" spans="1:3" ht="19.5" customHeight="1">
      <c r="A89" s="411" t="s">
        <v>622</v>
      </c>
      <c r="B89" s="403"/>
      <c r="C89" s="412">
        <v>2</v>
      </c>
    </row>
    <row r="90" spans="1:3" ht="19.5" customHeight="1">
      <c r="A90" s="411" t="s">
        <v>623</v>
      </c>
      <c r="B90" s="403"/>
      <c r="C90" s="412">
        <v>2</v>
      </c>
    </row>
    <row r="91" spans="1:3" ht="19.5" customHeight="1">
      <c r="A91" s="411" t="s">
        <v>624</v>
      </c>
      <c r="B91" s="403"/>
      <c r="C91" s="412">
        <v>2</v>
      </c>
    </row>
    <row r="92" spans="1:3" ht="19.5" customHeight="1">
      <c r="A92" s="411" t="s">
        <v>625</v>
      </c>
      <c r="B92" s="403"/>
      <c r="C92" s="412">
        <v>2</v>
      </c>
    </row>
    <row r="93" spans="1:3" ht="19.5" customHeight="1">
      <c r="A93" s="411" t="s">
        <v>626</v>
      </c>
      <c r="B93" s="403"/>
      <c r="C93" s="412">
        <v>2</v>
      </c>
    </row>
    <row r="94" spans="1:3" ht="19.5" customHeight="1">
      <c r="A94" s="411" t="s">
        <v>627</v>
      </c>
      <c r="B94" s="403"/>
      <c r="C94" s="412">
        <v>1</v>
      </c>
    </row>
    <row r="95" spans="1:3" ht="19.5" customHeight="1">
      <c r="A95" s="411" t="s">
        <v>628</v>
      </c>
      <c r="B95" s="403"/>
      <c r="C95" s="412">
        <v>1</v>
      </c>
    </row>
    <row r="96" spans="1:3" ht="19.5" customHeight="1">
      <c r="A96" s="411" t="s">
        <v>629</v>
      </c>
      <c r="B96" s="403"/>
      <c r="C96" s="412">
        <v>1</v>
      </c>
    </row>
    <row r="97" spans="1:3" ht="19.5" customHeight="1">
      <c r="A97" s="411" t="s">
        <v>630</v>
      </c>
      <c r="B97" s="403"/>
      <c r="C97" s="412">
        <v>1</v>
      </c>
    </row>
    <row r="98" spans="1:3" ht="19.5" customHeight="1">
      <c r="A98" s="411" t="s">
        <v>631</v>
      </c>
      <c r="B98" s="403"/>
      <c r="C98" s="412">
        <v>1</v>
      </c>
    </row>
    <row r="99" spans="1:3" ht="19.5" customHeight="1">
      <c r="A99" s="411" t="s">
        <v>632</v>
      </c>
      <c r="B99" s="403"/>
      <c r="C99" s="412">
        <v>1</v>
      </c>
    </row>
    <row r="100" spans="1:3" ht="19.5" customHeight="1">
      <c r="A100" s="411" t="s">
        <v>633</v>
      </c>
      <c r="B100" s="403"/>
      <c r="C100" s="412">
        <v>1</v>
      </c>
    </row>
    <row r="101" spans="1:3" ht="19.5" customHeight="1">
      <c r="A101" s="411" t="s">
        <v>634</v>
      </c>
      <c r="B101" s="403"/>
      <c r="C101" s="412">
        <v>1</v>
      </c>
    </row>
    <row r="102" spans="1:3" ht="19.5" customHeight="1">
      <c r="A102" s="411" t="s">
        <v>635</v>
      </c>
      <c r="B102" s="403"/>
      <c r="C102" s="412">
        <v>1</v>
      </c>
    </row>
    <row r="103" spans="1:3" ht="19.5" customHeight="1">
      <c r="A103" s="411" t="s">
        <v>636</v>
      </c>
      <c r="B103" s="403"/>
      <c r="C103" s="412">
        <v>1</v>
      </c>
    </row>
    <row r="104" spans="1:3" ht="19.5" customHeight="1">
      <c r="A104" s="411" t="s">
        <v>637</v>
      </c>
      <c r="B104" s="403"/>
      <c r="C104" s="412">
        <v>1</v>
      </c>
    </row>
    <row r="105" spans="1:3" ht="19.5" customHeight="1">
      <c r="A105" s="411" t="s">
        <v>638</v>
      </c>
      <c r="B105" s="403"/>
      <c r="C105" s="412">
        <v>1</v>
      </c>
    </row>
    <row r="106" spans="1:3" ht="19.5" customHeight="1">
      <c r="A106" s="411" t="s">
        <v>639</v>
      </c>
      <c r="B106" s="403"/>
      <c r="C106" s="412">
        <v>1</v>
      </c>
    </row>
    <row r="107" spans="1:3" ht="19.5" customHeight="1">
      <c r="A107" s="411" t="s">
        <v>640</v>
      </c>
      <c r="B107" s="403"/>
      <c r="C107" s="412">
        <v>1</v>
      </c>
    </row>
    <row r="108" spans="1:3" ht="19.5" customHeight="1">
      <c r="A108" s="411" t="s">
        <v>641</v>
      </c>
      <c r="B108" s="403"/>
      <c r="C108" s="412">
        <v>1</v>
      </c>
    </row>
    <row r="109" spans="1:3" ht="19.5" customHeight="1">
      <c r="A109" s="411" t="s">
        <v>642</v>
      </c>
      <c r="B109" s="403"/>
      <c r="C109" s="412">
        <v>1</v>
      </c>
    </row>
    <row r="110" spans="1:3" ht="19.5" customHeight="1">
      <c r="A110" s="411" t="s">
        <v>643</v>
      </c>
      <c r="B110" s="403"/>
      <c r="C110" s="412">
        <v>1</v>
      </c>
    </row>
    <row r="111" spans="1:3" ht="19.5" customHeight="1">
      <c r="A111" s="411" t="s">
        <v>644</v>
      </c>
      <c r="B111" s="403"/>
      <c r="C111" s="412">
        <v>1</v>
      </c>
    </row>
    <row r="112" spans="1:3" ht="19.5" customHeight="1">
      <c r="A112" s="411" t="s">
        <v>645</v>
      </c>
      <c r="B112" s="403"/>
      <c r="C112" s="412">
        <v>1</v>
      </c>
    </row>
    <row r="113" spans="1:3" ht="19.5" customHeight="1">
      <c r="A113" s="411" t="s">
        <v>646</v>
      </c>
      <c r="B113" s="403"/>
      <c r="C113" s="412">
        <v>1</v>
      </c>
    </row>
    <row r="114" spans="1:3" ht="19.5" customHeight="1">
      <c r="A114" s="411" t="s">
        <v>647</v>
      </c>
      <c r="B114" s="403"/>
      <c r="C114" s="412">
        <v>1</v>
      </c>
    </row>
    <row r="115" spans="1:3" ht="19.5" customHeight="1">
      <c r="A115" s="411" t="s">
        <v>648</v>
      </c>
      <c r="B115" s="403"/>
      <c r="C115" s="412">
        <v>1</v>
      </c>
    </row>
    <row r="116" spans="1:3" ht="19.5" customHeight="1">
      <c r="A116" s="411" t="s">
        <v>649</v>
      </c>
      <c r="B116" s="403"/>
      <c r="C116" s="412">
        <v>1</v>
      </c>
    </row>
    <row r="117" spans="1:3" ht="19.5" customHeight="1">
      <c r="A117" s="411" t="s">
        <v>650</v>
      </c>
      <c r="B117" s="403"/>
      <c r="C117" s="412">
        <v>1</v>
      </c>
    </row>
    <row r="118" spans="1:3" ht="19.5" customHeight="1">
      <c r="A118" s="411" t="s">
        <v>651</v>
      </c>
      <c r="B118" s="403"/>
      <c r="C118" s="412">
        <v>1</v>
      </c>
    </row>
    <row r="119" spans="1:3" ht="19.5" customHeight="1">
      <c r="A119" s="411" t="s">
        <v>652</v>
      </c>
      <c r="B119" s="403"/>
      <c r="C119" s="412">
        <v>1</v>
      </c>
    </row>
    <row r="120" spans="1:3" ht="19.5" customHeight="1">
      <c r="A120" s="411" t="s">
        <v>653</v>
      </c>
      <c r="B120" s="403"/>
      <c r="C120" s="412">
        <v>1</v>
      </c>
    </row>
    <row r="121" spans="1:3" ht="19.5" customHeight="1">
      <c r="A121" s="411" t="s">
        <v>654</v>
      </c>
      <c r="B121" s="403"/>
      <c r="C121" s="412">
        <v>1</v>
      </c>
    </row>
    <row r="122" spans="1:3" ht="19.5" customHeight="1">
      <c r="A122" s="411" t="s">
        <v>655</v>
      </c>
      <c r="B122" s="403"/>
      <c r="C122" s="412">
        <v>1</v>
      </c>
    </row>
    <row r="123" spans="1:3" ht="19.5" customHeight="1">
      <c r="A123" s="411" t="s">
        <v>656</v>
      </c>
      <c r="B123" s="403"/>
      <c r="C123" s="412">
        <v>1</v>
      </c>
    </row>
    <row r="124" spans="1:3" ht="19.5" customHeight="1">
      <c r="A124" s="411" t="s">
        <v>657</v>
      </c>
      <c r="B124" s="403"/>
      <c r="C124" s="412">
        <v>1</v>
      </c>
    </row>
    <row r="125" spans="1:3" ht="19.5" customHeight="1">
      <c r="A125" s="411" t="s">
        <v>658</v>
      </c>
      <c r="B125" s="403"/>
      <c r="C125" s="412">
        <v>1</v>
      </c>
    </row>
    <row r="126" spans="1:3" ht="19.5" customHeight="1">
      <c r="A126" s="411" t="s">
        <v>659</v>
      </c>
      <c r="B126" s="403"/>
      <c r="C126" s="412">
        <v>1</v>
      </c>
    </row>
    <row r="127" spans="1:3" ht="19.5" customHeight="1">
      <c r="A127" s="411" t="s">
        <v>660</v>
      </c>
      <c r="B127" s="403"/>
      <c r="C127" s="412">
        <v>1</v>
      </c>
    </row>
    <row r="128" spans="1:3" ht="19.5" customHeight="1">
      <c r="A128" s="411" t="s">
        <v>661</v>
      </c>
      <c r="B128" s="403"/>
      <c r="C128" s="412">
        <v>1</v>
      </c>
    </row>
    <row r="129" spans="1:3" ht="19.5" customHeight="1">
      <c r="A129" s="411" t="s">
        <v>662</v>
      </c>
      <c r="B129" s="403"/>
      <c r="C129" s="412">
        <v>1</v>
      </c>
    </row>
    <row r="130" spans="1:3" ht="19.5" customHeight="1">
      <c r="A130" s="411" t="s">
        <v>663</v>
      </c>
      <c r="B130" s="403"/>
      <c r="C130" s="412">
        <v>1</v>
      </c>
    </row>
    <row r="131" spans="1:3" ht="19.5" customHeight="1">
      <c r="A131" s="411" t="s">
        <v>664</v>
      </c>
      <c r="B131" s="403"/>
      <c r="C131" s="412">
        <v>1</v>
      </c>
    </row>
    <row r="132" spans="1:3" ht="19.5" customHeight="1">
      <c r="A132" s="411" t="s">
        <v>665</v>
      </c>
      <c r="B132" s="403"/>
      <c r="C132" s="412">
        <v>1</v>
      </c>
    </row>
    <row r="133" spans="1:3" ht="19.5" customHeight="1">
      <c r="A133" s="411" t="s">
        <v>666</v>
      </c>
      <c r="B133" s="403"/>
      <c r="C133" s="412">
        <v>1</v>
      </c>
    </row>
    <row r="134" spans="1:3" ht="19.5" customHeight="1">
      <c r="A134" s="411" t="s">
        <v>667</v>
      </c>
      <c r="B134" s="403"/>
      <c r="C134" s="412">
        <v>1</v>
      </c>
    </row>
    <row r="135" spans="1:3" ht="19.5" customHeight="1">
      <c r="A135" s="411" t="s">
        <v>668</v>
      </c>
      <c r="B135" s="403"/>
      <c r="C135" s="412">
        <v>1</v>
      </c>
    </row>
    <row r="136" spans="1:3" ht="19.5" customHeight="1">
      <c r="A136" s="411" t="s">
        <v>669</v>
      </c>
      <c r="B136" s="403"/>
      <c r="C136" s="412">
        <v>1</v>
      </c>
    </row>
    <row r="137" spans="1:3" ht="19.5" customHeight="1">
      <c r="A137" s="411" t="s">
        <v>670</v>
      </c>
      <c r="B137" s="403"/>
      <c r="C137" s="412">
        <v>1</v>
      </c>
    </row>
    <row r="138" spans="1:3" ht="19.5" customHeight="1">
      <c r="A138" s="411" t="s">
        <v>671</v>
      </c>
      <c r="B138" s="403"/>
      <c r="C138" s="412">
        <v>1</v>
      </c>
    </row>
    <row r="139" spans="1:3" ht="19.5" customHeight="1">
      <c r="A139" s="411" t="s">
        <v>672</v>
      </c>
      <c r="B139" s="403"/>
      <c r="C139" s="412">
        <v>1</v>
      </c>
    </row>
    <row r="140" spans="1:3" ht="19.5" customHeight="1">
      <c r="A140" s="411" t="s">
        <v>673</v>
      </c>
      <c r="B140" s="403"/>
      <c r="C140" s="412">
        <v>1</v>
      </c>
    </row>
    <row r="141" spans="1:3" ht="19.5" customHeight="1">
      <c r="A141" s="411" t="s">
        <v>674</v>
      </c>
      <c r="B141" s="403"/>
      <c r="C141" s="412">
        <v>1</v>
      </c>
    </row>
    <row r="142" spans="1:3" ht="19.5" customHeight="1">
      <c r="A142" s="411" t="s">
        <v>675</v>
      </c>
      <c r="B142" s="403"/>
      <c r="C142" s="412">
        <v>1</v>
      </c>
    </row>
    <row r="143" spans="1:3" ht="19.5" customHeight="1">
      <c r="A143" s="411" t="s">
        <v>676</v>
      </c>
      <c r="B143" s="403"/>
      <c r="C143" s="412">
        <v>1</v>
      </c>
    </row>
    <row r="144" spans="1:3" ht="19.5" customHeight="1">
      <c r="A144" s="411" t="s">
        <v>677</v>
      </c>
      <c r="B144" s="403"/>
      <c r="C144" s="412">
        <v>1</v>
      </c>
    </row>
    <row r="145" spans="1:3" ht="19.5" customHeight="1">
      <c r="A145" s="411" t="s">
        <v>678</v>
      </c>
      <c r="B145" s="403"/>
      <c r="C145" s="412">
        <v>1</v>
      </c>
    </row>
    <row r="146" spans="1:3" ht="19.5" customHeight="1">
      <c r="A146" s="411" t="s">
        <v>679</v>
      </c>
      <c r="B146" s="403"/>
      <c r="C146" s="412">
        <v>1</v>
      </c>
    </row>
    <row r="147" spans="1:3" ht="19.5" customHeight="1">
      <c r="A147" s="411" t="s">
        <v>680</v>
      </c>
      <c r="B147" s="403"/>
      <c r="C147" s="412">
        <v>1</v>
      </c>
    </row>
    <row r="148" spans="1:3" ht="19.5" customHeight="1">
      <c r="A148" s="411" t="s">
        <v>681</v>
      </c>
      <c r="B148" s="403"/>
      <c r="C148" s="412">
        <v>1</v>
      </c>
    </row>
    <row r="149" spans="1:3" ht="19.5" customHeight="1">
      <c r="A149" s="411" t="s">
        <v>682</v>
      </c>
      <c r="B149" s="403"/>
      <c r="C149" s="412">
        <v>1</v>
      </c>
    </row>
    <row r="150" spans="1:3" ht="19.5" customHeight="1">
      <c r="A150" s="411" t="s">
        <v>683</v>
      </c>
      <c r="B150" s="403"/>
      <c r="C150" s="412">
        <v>1</v>
      </c>
    </row>
    <row r="151" spans="1:3" ht="19.5" customHeight="1">
      <c r="A151" s="411" t="s">
        <v>684</v>
      </c>
      <c r="B151" s="403"/>
      <c r="C151" s="412">
        <v>7</v>
      </c>
    </row>
    <row r="152" spans="1:3" ht="19.5" customHeight="1">
      <c r="A152" s="411" t="s">
        <v>685</v>
      </c>
      <c r="B152" s="403"/>
      <c r="C152" s="412">
        <v>1</v>
      </c>
    </row>
    <row r="153" spans="1:3" ht="19.5" customHeight="1">
      <c r="A153" s="411" t="s">
        <v>686</v>
      </c>
      <c r="B153" s="403"/>
      <c r="C153" s="412">
        <v>1</v>
      </c>
    </row>
    <row r="154" spans="1:3" ht="19.5" customHeight="1">
      <c r="A154" s="411" t="s">
        <v>687</v>
      </c>
      <c r="B154" s="403"/>
      <c r="C154" s="412">
        <v>1</v>
      </c>
    </row>
    <row r="155" spans="1:3" ht="19.5" customHeight="1">
      <c r="A155" s="411" t="s">
        <v>688</v>
      </c>
      <c r="B155" s="403"/>
      <c r="C155" s="412">
        <v>1</v>
      </c>
    </row>
    <row r="156" spans="1:3" ht="19.5" customHeight="1">
      <c r="A156" s="411" t="s">
        <v>689</v>
      </c>
      <c r="B156" s="403"/>
      <c r="C156" s="412">
        <v>1</v>
      </c>
    </row>
    <row r="157" spans="1:3" ht="19.5" customHeight="1" thickBot="1">
      <c r="A157" s="547" t="s">
        <v>174</v>
      </c>
      <c r="B157" s="548"/>
      <c r="C157" s="413">
        <f>SUM(C31:C156)</f>
        <v>496</v>
      </c>
    </row>
    <row r="158" spans="1:3" ht="19.5" customHeight="1" thickBot="1">
      <c r="C158" s="241"/>
    </row>
    <row r="159" spans="1:3" ht="19.5" customHeight="1">
      <c r="A159" s="530" t="s">
        <v>175</v>
      </c>
      <c r="B159" s="531"/>
      <c r="C159" s="532"/>
    </row>
    <row r="160" spans="1:3" ht="19.5" customHeight="1" thickBot="1">
      <c r="A160" s="263" t="s">
        <v>172</v>
      </c>
      <c r="B160" s="264" t="s">
        <v>173</v>
      </c>
      <c r="C160" s="265" t="s">
        <v>42</v>
      </c>
    </row>
    <row r="161" spans="1:3" ht="19.5" customHeight="1">
      <c r="A161" s="408" t="s">
        <v>690</v>
      </c>
      <c r="B161" s="409"/>
      <c r="C161" s="410">
        <v>22</v>
      </c>
    </row>
    <row r="162" spans="1:3" ht="19.5" customHeight="1">
      <c r="A162" s="411" t="s">
        <v>691</v>
      </c>
      <c r="B162" s="403"/>
      <c r="C162" s="412">
        <v>6</v>
      </c>
    </row>
    <row r="163" spans="1:3" ht="19.5" customHeight="1">
      <c r="A163" s="411" t="s">
        <v>692</v>
      </c>
      <c r="B163" s="403"/>
      <c r="C163" s="412">
        <v>5</v>
      </c>
    </row>
    <row r="164" spans="1:3" ht="19.5" customHeight="1">
      <c r="A164" s="411" t="s">
        <v>693</v>
      </c>
      <c r="B164" s="403"/>
      <c r="C164" s="412">
        <v>3</v>
      </c>
    </row>
    <row r="165" spans="1:3" ht="19.5" customHeight="1">
      <c r="A165" s="411" t="s">
        <v>694</v>
      </c>
      <c r="B165" s="403"/>
      <c r="C165" s="412">
        <v>2</v>
      </c>
    </row>
    <row r="166" spans="1:3" ht="19.5" customHeight="1">
      <c r="A166" s="411" t="s">
        <v>695</v>
      </c>
      <c r="B166" s="403"/>
      <c r="C166" s="412">
        <v>2</v>
      </c>
    </row>
    <row r="167" spans="1:3" ht="19.5" customHeight="1">
      <c r="A167" s="411" t="s">
        <v>696</v>
      </c>
      <c r="B167" s="403"/>
      <c r="C167" s="412">
        <v>2</v>
      </c>
    </row>
    <row r="168" spans="1:3" ht="19.5" customHeight="1">
      <c r="A168" s="411" t="s">
        <v>697</v>
      </c>
      <c r="B168" s="403"/>
      <c r="C168" s="412">
        <v>2</v>
      </c>
    </row>
    <row r="169" spans="1:3" ht="19.5" customHeight="1">
      <c r="A169" s="411" t="s">
        <v>698</v>
      </c>
      <c r="B169" s="403"/>
      <c r="C169" s="412">
        <v>2</v>
      </c>
    </row>
    <row r="170" spans="1:3" ht="19.5" customHeight="1">
      <c r="A170" s="411" t="s">
        <v>699</v>
      </c>
      <c r="B170" s="403"/>
      <c r="C170" s="412">
        <v>2</v>
      </c>
    </row>
    <row r="171" spans="1:3" ht="19.5" customHeight="1">
      <c r="A171" s="411" t="s">
        <v>700</v>
      </c>
      <c r="B171" s="403"/>
      <c r="C171" s="412">
        <v>2</v>
      </c>
    </row>
    <row r="172" spans="1:3" ht="19.5" customHeight="1">
      <c r="A172" s="411" t="s">
        <v>701</v>
      </c>
      <c r="B172" s="403"/>
      <c r="C172" s="412">
        <v>1</v>
      </c>
    </row>
    <row r="173" spans="1:3" ht="19.5" customHeight="1">
      <c r="A173" s="411" t="s">
        <v>702</v>
      </c>
      <c r="B173" s="403"/>
      <c r="C173" s="412">
        <v>1</v>
      </c>
    </row>
    <row r="174" spans="1:3" ht="19.5" customHeight="1">
      <c r="A174" s="411" t="s">
        <v>703</v>
      </c>
      <c r="B174" s="403"/>
      <c r="C174" s="412">
        <v>1</v>
      </c>
    </row>
    <row r="175" spans="1:3" ht="19.5" customHeight="1">
      <c r="A175" s="411" t="s">
        <v>704</v>
      </c>
      <c r="B175" s="403"/>
      <c r="C175" s="412">
        <v>1</v>
      </c>
    </row>
    <row r="176" spans="1:3" ht="19.5" customHeight="1">
      <c r="A176" s="411" t="s">
        <v>705</v>
      </c>
      <c r="B176" s="403"/>
      <c r="C176" s="412">
        <v>1</v>
      </c>
    </row>
    <row r="177" spans="1:3" ht="19.5" customHeight="1">
      <c r="A177" s="411" t="s">
        <v>706</v>
      </c>
      <c r="B177" s="403"/>
      <c r="C177" s="412">
        <v>1</v>
      </c>
    </row>
    <row r="178" spans="1:3" ht="19.5" customHeight="1">
      <c r="A178" s="411" t="s">
        <v>707</v>
      </c>
      <c r="B178" s="403"/>
      <c r="C178" s="412">
        <v>1</v>
      </c>
    </row>
    <row r="179" spans="1:3" ht="19.5" customHeight="1">
      <c r="A179" s="411" t="s">
        <v>708</v>
      </c>
      <c r="B179" s="403"/>
      <c r="C179" s="412">
        <v>1</v>
      </c>
    </row>
    <row r="180" spans="1:3" ht="19.5" customHeight="1">
      <c r="A180" s="411" t="s">
        <v>709</v>
      </c>
      <c r="B180" s="403"/>
      <c r="C180" s="412">
        <v>1</v>
      </c>
    </row>
    <row r="181" spans="1:3" ht="19.5" customHeight="1">
      <c r="A181" s="411" t="s">
        <v>710</v>
      </c>
      <c r="B181" s="403"/>
      <c r="C181" s="412">
        <v>1</v>
      </c>
    </row>
    <row r="182" spans="1:3" ht="19.5" customHeight="1">
      <c r="A182" s="411" t="s">
        <v>711</v>
      </c>
      <c r="B182" s="403"/>
      <c r="C182" s="412">
        <v>1</v>
      </c>
    </row>
    <row r="183" spans="1:3" ht="19.5" customHeight="1">
      <c r="A183" s="411" t="s">
        <v>712</v>
      </c>
      <c r="B183" s="403"/>
      <c r="C183" s="412">
        <v>1</v>
      </c>
    </row>
    <row r="184" spans="1:3" ht="19.5" customHeight="1">
      <c r="A184" s="411" t="s">
        <v>713</v>
      </c>
      <c r="B184" s="403"/>
      <c r="C184" s="412">
        <v>1</v>
      </c>
    </row>
    <row r="185" spans="1:3" ht="19.5" customHeight="1">
      <c r="A185" s="411" t="s">
        <v>714</v>
      </c>
      <c r="B185" s="403"/>
      <c r="C185" s="412">
        <v>1</v>
      </c>
    </row>
    <row r="186" spans="1:3" ht="19.5" customHeight="1">
      <c r="A186" s="411" t="s">
        <v>715</v>
      </c>
      <c r="B186" s="403"/>
      <c r="C186" s="412">
        <v>1</v>
      </c>
    </row>
    <row r="187" spans="1:3" ht="19.5" customHeight="1">
      <c r="A187" s="411" t="s">
        <v>716</v>
      </c>
      <c r="B187" s="403"/>
      <c r="C187" s="412">
        <v>1</v>
      </c>
    </row>
    <row r="188" spans="1:3" ht="19.5" customHeight="1">
      <c r="A188" s="411" t="s">
        <v>717</v>
      </c>
      <c r="B188" s="403"/>
      <c r="C188" s="412">
        <v>1</v>
      </c>
    </row>
    <row r="189" spans="1:3" ht="19.5" customHeight="1">
      <c r="A189" s="411" t="s">
        <v>718</v>
      </c>
      <c r="B189" s="403"/>
      <c r="C189" s="412">
        <v>1</v>
      </c>
    </row>
    <row r="190" spans="1:3" ht="19.5" customHeight="1">
      <c r="A190" s="411" t="s">
        <v>719</v>
      </c>
      <c r="B190" s="403"/>
      <c r="C190" s="412">
        <v>1</v>
      </c>
    </row>
    <row r="191" spans="1:3" ht="19.5" customHeight="1" thickBot="1">
      <c r="A191" s="547" t="s">
        <v>176</v>
      </c>
      <c r="B191" s="548"/>
      <c r="C191" s="413">
        <f>SUM(C161:C190)</f>
        <v>69</v>
      </c>
    </row>
    <row r="192" spans="1:3" ht="19.5" customHeight="1" thickBot="1">
      <c r="C192" s="241"/>
    </row>
    <row r="193" spans="2:3" ht="19.5" customHeight="1">
      <c r="B193" s="549" t="s">
        <v>177</v>
      </c>
      <c r="C193" s="550"/>
    </row>
    <row r="194" spans="2:3" ht="19.5" customHeight="1">
      <c r="B194" s="269"/>
      <c r="C194" s="270" t="s">
        <v>42</v>
      </c>
    </row>
    <row r="195" spans="2:3" ht="19.5" customHeight="1">
      <c r="B195" s="269" t="s">
        <v>178</v>
      </c>
      <c r="C195" s="271">
        <v>24</v>
      </c>
    </row>
    <row r="196" spans="2:3" ht="19.5" customHeight="1">
      <c r="B196" s="269" t="s">
        <v>179</v>
      </c>
      <c r="C196" s="271">
        <v>38</v>
      </c>
    </row>
    <row r="197" spans="2:3" ht="19.5" customHeight="1">
      <c r="B197" s="272" t="s">
        <v>180</v>
      </c>
      <c r="C197" s="273">
        <f>C195+C196</f>
        <v>62</v>
      </c>
    </row>
  </sheetData>
  <mergeCells count="28">
    <mergeCell ref="A159:C159"/>
    <mergeCell ref="A191:B191"/>
    <mergeCell ref="B193:C193"/>
    <mergeCell ref="A24:C24"/>
    <mergeCell ref="A25:B25"/>
    <mergeCell ref="A26:B26"/>
    <mergeCell ref="A29:C29"/>
    <mergeCell ref="A157:B157"/>
    <mergeCell ref="A19:C19"/>
    <mergeCell ref="A20:B20"/>
    <mergeCell ref="A21:B21"/>
    <mergeCell ref="A22:B22"/>
    <mergeCell ref="A23:B23"/>
    <mergeCell ref="A14:B14"/>
    <mergeCell ref="A15:B15"/>
    <mergeCell ref="A16:B16"/>
    <mergeCell ref="A17:C17"/>
    <mergeCell ref="A18:B18"/>
    <mergeCell ref="A8:B8"/>
    <mergeCell ref="A9:B9"/>
    <mergeCell ref="A10:B10"/>
    <mergeCell ref="A12:C12"/>
    <mergeCell ref="A13:B13"/>
    <mergeCell ref="A1:C1"/>
    <mergeCell ref="B3:C3"/>
    <mergeCell ref="B4:C4"/>
    <mergeCell ref="A6:C6"/>
    <mergeCell ref="A7:B7"/>
  </mergeCells>
  <pageMargins left="0.511811024" right="0.511811024" top="0.78740157499999996" bottom="0.78740157499999996" header="0.31496062000000002" footer="0.31496062000000002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66"/>
  <sheetViews>
    <sheetView showGridLines="0" tabSelected="1" topLeftCell="A31" zoomScale="80" zoomScaleNormal="80" zoomScaleSheetLayoutView="80" zoomScalePageLayoutView="80" workbookViewId="0">
      <selection activeCell="E54" sqref="E54"/>
    </sheetView>
  </sheetViews>
  <sheetFormatPr defaultColWidth="9" defaultRowHeight="19.5" customHeight="1"/>
  <cols>
    <col min="1" max="1" width="46.140625" style="155" customWidth="1"/>
    <col min="2" max="2" width="18.5703125" style="156" customWidth="1"/>
    <col min="3" max="3" width="22.7109375" style="156" customWidth="1"/>
    <col min="4" max="4" width="29.140625" style="156" customWidth="1"/>
    <col min="5" max="5" width="19" style="156" customWidth="1"/>
    <col min="6" max="6" width="18.42578125" style="156" customWidth="1"/>
    <col min="7" max="7" width="21.42578125" style="156" customWidth="1"/>
    <col min="8" max="8" width="18.140625" style="156" customWidth="1"/>
    <col min="9" max="9" width="21.42578125" style="155" customWidth="1"/>
    <col min="10" max="16383" width="9.140625" style="155"/>
    <col min="16384" max="16384" width="9" style="155"/>
  </cols>
  <sheetData>
    <row r="1" spans="1:9" ht="32.1" customHeight="1">
      <c r="A1" s="553" t="s">
        <v>181</v>
      </c>
      <c r="B1" s="554"/>
      <c r="C1" s="554"/>
      <c r="D1" s="554"/>
      <c r="E1" s="554"/>
      <c r="F1" s="554"/>
      <c r="G1" s="554"/>
      <c r="H1" s="554"/>
      <c r="I1" s="554"/>
    </row>
    <row r="2" spans="1:9" ht="19.5" customHeight="1">
      <c r="A2" s="176"/>
      <c r="B2" s="177"/>
      <c r="C2" s="177"/>
      <c r="D2" s="177"/>
      <c r="E2" s="178"/>
      <c r="F2" s="178"/>
      <c r="G2" s="178"/>
      <c r="H2" s="178"/>
      <c r="I2" s="233"/>
    </row>
    <row r="3" spans="1:9" ht="19.5" customHeight="1">
      <c r="A3" s="179" t="s">
        <v>6</v>
      </c>
      <c r="B3" s="555" t="str">
        <f>Capa!D5</f>
        <v>HOSPITAL REGIONAL TEREZINHA GAIO BASSO</v>
      </c>
      <c r="C3" s="556"/>
      <c r="D3" s="556"/>
      <c r="E3" s="556"/>
      <c r="F3" s="178"/>
      <c r="G3" s="178"/>
      <c r="H3" s="178"/>
      <c r="I3" s="234"/>
    </row>
    <row r="4" spans="1:9" ht="19.5" customHeight="1">
      <c r="A4" s="179" t="s">
        <v>7</v>
      </c>
      <c r="B4" s="557">
        <f>Assistencial!B4</f>
        <v>45931</v>
      </c>
      <c r="C4" s="557"/>
      <c r="D4" s="178"/>
      <c r="E4" s="178"/>
      <c r="F4" s="178"/>
      <c r="G4" s="178"/>
      <c r="H4" s="178"/>
      <c r="I4" s="233"/>
    </row>
    <row r="5" spans="1:9" ht="23.1" customHeight="1">
      <c r="A5" s="180"/>
    </row>
    <row r="6" spans="1:9" ht="19.5" customHeight="1">
      <c r="A6" s="558" t="s">
        <v>182</v>
      </c>
      <c r="B6" s="559"/>
      <c r="C6" s="181" t="s">
        <v>42</v>
      </c>
    </row>
    <row r="7" spans="1:9" ht="19.5" customHeight="1">
      <c r="A7" s="560" t="s">
        <v>183</v>
      </c>
      <c r="B7" s="561"/>
      <c r="C7" s="182">
        <v>698</v>
      </c>
    </row>
    <row r="8" spans="1:9" ht="19.5" customHeight="1">
      <c r="A8" s="562" t="s">
        <v>184</v>
      </c>
      <c r="B8" s="563"/>
      <c r="C8" s="183">
        <f>B29</f>
        <v>701</v>
      </c>
    </row>
    <row r="9" spans="1:9" ht="19.5" customHeight="1">
      <c r="A9" s="180"/>
    </row>
    <row r="10" spans="1:9" ht="19.5" customHeight="1">
      <c r="A10" s="564" t="s">
        <v>185</v>
      </c>
      <c r="B10" s="565"/>
      <c r="C10" s="565"/>
      <c r="D10" s="565"/>
      <c r="E10" s="565"/>
      <c r="F10" s="566"/>
    </row>
    <row r="11" spans="1:9" ht="38.1" customHeight="1">
      <c r="A11" s="184"/>
      <c r="B11" s="567" t="s">
        <v>186</v>
      </c>
      <c r="C11" s="568"/>
      <c r="D11" s="569" t="s">
        <v>187</v>
      </c>
      <c r="E11" s="570"/>
      <c r="F11" s="186"/>
    </row>
    <row r="12" spans="1:9" ht="19.5" customHeight="1">
      <c r="A12" s="184"/>
      <c r="B12" s="571">
        <v>11</v>
      </c>
      <c r="C12" s="572"/>
      <c r="D12" s="573">
        <v>1.32E-2</v>
      </c>
      <c r="E12" s="574"/>
      <c r="F12" s="186"/>
    </row>
    <row r="13" spans="1:9" ht="19.5" customHeight="1">
      <c r="A13" s="187"/>
      <c r="F13" s="188"/>
    </row>
    <row r="14" spans="1:9" ht="19.5" customHeight="1">
      <c r="A14" s="189"/>
      <c r="B14" s="575" t="s">
        <v>188</v>
      </c>
      <c r="C14" s="576"/>
      <c r="D14" s="576"/>
      <c r="E14" s="576"/>
      <c r="F14" s="577"/>
    </row>
    <row r="15" spans="1:9" ht="57.95" customHeight="1">
      <c r="A15" s="190"/>
      <c r="B15" s="191" t="s">
        <v>189</v>
      </c>
      <c r="C15" s="192" t="s">
        <v>190</v>
      </c>
      <c r="D15" s="192" t="s">
        <v>191</v>
      </c>
      <c r="E15" s="192" t="s">
        <v>192</v>
      </c>
      <c r="F15" s="123" t="s">
        <v>193</v>
      </c>
    </row>
    <row r="16" spans="1:9" ht="19.5" customHeight="1">
      <c r="A16" s="160"/>
      <c r="B16" s="193">
        <v>5</v>
      </c>
      <c r="C16" s="194">
        <v>0</v>
      </c>
      <c r="D16" s="194">
        <v>249</v>
      </c>
      <c r="E16" s="194">
        <v>4</v>
      </c>
      <c r="F16" s="195">
        <v>144</v>
      </c>
    </row>
    <row r="17" spans="1:9" ht="19.5" customHeight="1">
      <c r="A17" s="189"/>
      <c r="B17" s="196"/>
      <c r="C17" s="196"/>
      <c r="D17" s="196"/>
      <c r="E17" s="196"/>
      <c r="F17" s="197"/>
    </row>
    <row r="18" spans="1:9" ht="19.5" customHeight="1">
      <c r="A18" s="189"/>
      <c r="B18" s="578" t="s">
        <v>194</v>
      </c>
      <c r="C18" s="579"/>
      <c r="D18" s="580"/>
      <c r="E18" s="196"/>
      <c r="F18" s="197"/>
    </row>
    <row r="19" spans="1:9" ht="19.5" customHeight="1">
      <c r="A19" s="187"/>
      <c r="B19" s="198" t="s">
        <v>195</v>
      </c>
      <c r="C19" s="199" t="s">
        <v>196</v>
      </c>
      <c r="D19" s="200" t="s">
        <v>197</v>
      </c>
      <c r="F19" s="201"/>
    </row>
    <row r="20" spans="1:9" ht="19.5" customHeight="1">
      <c r="A20" s="187"/>
      <c r="B20" s="202" t="b">
        <f>I14=G17=B16/Assistencial!I14*1000</f>
        <v>0</v>
      </c>
      <c r="C20" s="203">
        <f>C16/D16*1000</f>
        <v>0</v>
      </c>
      <c r="D20" s="416">
        <f>F16/Assistencial!I14</f>
        <v>0.48160535117056857</v>
      </c>
      <c r="F20" s="201"/>
    </row>
    <row r="21" spans="1:9" ht="68.099999999999994" customHeight="1">
      <c r="A21" s="581" t="s">
        <v>198</v>
      </c>
      <c r="B21" s="582"/>
      <c r="C21" s="582"/>
      <c r="D21" s="582"/>
      <c r="E21" s="582"/>
      <c r="F21" s="583"/>
    </row>
    <row r="22" spans="1:9" ht="19.5" customHeight="1">
      <c r="A22" s="180"/>
    </row>
    <row r="23" spans="1:9" ht="19.5" customHeight="1">
      <c r="A23" s="180"/>
    </row>
    <row r="24" spans="1:9" ht="19.5" customHeight="1">
      <c r="A24" s="584" t="s">
        <v>199</v>
      </c>
      <c r="B24" s="585"/>
      <c r="C24" s="204"/>
      <c r="D24" s="564" t="s">
        <v>200</v>
      </c>
      <c r="E24" s="565"/>
      <c r="F24" s="565"/>
      <c r="G24" s="565"/>
      <c r="H24" s="565"/>
      <c r="I24" s="566"/>
    </row>
    <row r="25" spans="1:9" ht="51" customHeight="1">
      <c r="A25" s="205"/>
      <c r="B25" s="206" t="s">
        <v>42</v>
      </c>
      <c r="D25" s="207"/>
      <c r="E25" s="185" t="s">
        <v>201</v>
      </c>
      <c r="F25" s="185" t="s">
        <v>202</v>
      </c>
      <c r="G25" s="185" t="s">
        <v>203</v>
      </c>
      <c r="H25" s="185" t="s">
        <v>496</v>
      </c>
      <c r="I25" s="235" t="s">
        <v>497</v>
      </c>
    </row>
    <row r="26" spans="1:9" ht="39" customHeight="1">
      <c r="A26" s="208" t="s">
        <v>204</v>
      </c>
      <c r="B26" s="60">
        <v>30</v>
      </c>
      <c r="D26" s="205" t="s">
        <v>205</v>
      </c>
      <c r="E26" s="209">
        <v>95</v>
      </c>
      <c r="F26" s="209">
        <v>0</v>
      </c>
      <c r="G26" s="210">
        <f>F26/E26</f>
        <v>0</v>
      </c>
      <c r="H26" s="211">
        <v>93</v>
      </c>
      <c r="I26" s="236">
        <f>H26/H32</f>
        <v>0.21933962264150944</v>
      </c>
    </row>
    <row r="27" spans="1:9" ht="19.5" customHeight="1">
      <c r="A27" s="208" t="s">
        <v>206</v>
      </c>
      <c r="B27" s="60">
        <v>7</v>
      </c>
      <c r="D27" s="207" t="s">
        <v>207</v>
      </c>
      <c r="E27" s="62">
        <v>270</v>
      </c>
      <c r="F27" s="62">
        <v>1</v>
      </c>
      <c r="G27" s="212">
        <f>F27/E27</f>
        <v>3.7037037037037038E-3</v>
      </c>
      <c r="H27" s="164">
        <v>262</v>
      </c>
      <c r="I27" s="237">
        <f>H27/H32</f>
        <v>0.61792452830188682</v>
      </c>
    </row>
    <row r="28" spans="1:9" ht="30" customHeight="1">
      <c r="A28" s="207" t="s">
        <v>208</v>
      </c>
      <c r="B28" s="213">
        <f>E32</f>
        <v>447</v>
      </c>
      <c r="C28" s="155"/>
      <c r="D28" s="207" t="s">
        <v>209</v>
      </c>
      <c r="E28" s="62">
        <v>69</v>
      </c>
      <c r="F28" s="62">
        <v>1</v>
      </c>
      <c r="G28" s="212">
        <f>F28/E28</f>
        <v>1.4492753623188406E-2</v>
      </c>
      <c r="H28" s="164">
        <v>63</v>
      </c>
      <c r="I28" s="237">
        <f>H28/H32</f>
        <v>0.14858490566037735</v>
      </c>
    </row>
    <row r="29" spans="1:9" ht="24" customHeight="1">
      <c r="A29" s="214" t="s">
        <v>210</v>
      </c>
      <c r="B29" s="215">
        <f>Assistencial!F15</f>
        <v>701</v>
      </c>
      <c r="D29" s="207" t="s">
        <v>211</v>
      </c>
      <c r="E29" s="62">
        <v>9</v>
      </c>
      <c r="F29" s="62">
        <v>2</v>
      </c>
      <c r="G29" s="212">
        <f>F29/E29</f>
        <v>0.22222222222222221</v>
      </c>
      <c r="H29" s="164">
        <v>5</v>
      </c>
      <c r="I29" s="237">
        <f>H29/H32</f>
        <v>1.179245283018868E-2</v>
      </c>
    </row>
    <row r="30" spans="1:9" ht="18.95" customHeight="1">
      <c r="A30" s="189"/>
      <c r="B30" s="155"/>
      <c r="D30" s="207" t="s">
        <v>212</v>
      </c>
      <c r="E30" s="62">
        <v>2</v>
      </c>
      <c r="F30" s="62">
        <v>1</v>
      </c>
      <c r="G30" s="212">
        <f>F30/E30</f>
        <v>0.5</v>
      </c>
      <c r="H30" s="164">
        <v>1</v>
      </c>
      <c r="I30" s="237">
        <f>H30/H32</f>
        <v>2.3584905660377358E-3</v>
      </c>
    </row>
    <row r="31" spans="1:9" ht="33" customHeight="1">
      <c r="A31" s="564" t="s">
        <v>213</v>
      </c>
      <c r="B31" s="566"/>
      <c r="C31" s="216"/>
      <c r="D31" s="214" t="s">
        <v>214</v>
      </c>
      <c r="E31" s="217">
        <v>2</v>
      </c>
      <c r="F31" s="218">
        <v>2</v>
      </c>
      <c r="G31" s="218" t="s">
        <v>57</v>
      </c>
      <c r="H31" s="218" t="s">
        <v>57</v>
      </c>
      <c r="I31" s="238" t="s">
        <v>57</v>
      </c>
    </row>
    <row r="32" spans="1:9" ht="18.95" customHeight="1">
      <c r="A32" s="207"/>
      <c r="B32" s="219" t="s">
        <v>215</v>
      </c>
      <c r="C32" s="216"/>
      <c r="D32" s="220" t="s">
        <v>14</v>
      </c>
      <c r="E32" s="221">
        <f>SUM(E26:E31)</f>
        <v>447</v>
      </c>
      <c r="F32" s="221">
        <f>SUM(F26:F31)</f>
        <v>7</v>
      </c>
      <c r="G32" s="222">
        <f>SUM(G26:G30)</f>
        <v>0.74041867954911433</v>
      </c>
      <c r="H32" s="221">
        <f>SUM(H26:H30)</f>
        <v>424</v>
      </c>
      <c r="I32" s="239">
        <f>SUM(I26:I30)</f>
        <v>1</v>
      </c>
    </row>
    <row r="33" spans="1:9" ht="45" customHeight="1">
      <c r="A33" s="223" t="s">
        <v>203</v>
      </c>
      <c r="B33" s="224">
        <f>B27/B28</f>
        <v>1.5659955257270694E-2</v>
      </c>
      <c r="C33" s="216"/>
      <c r="D33" s="590" t="s">
        <v>216</v>
      </c>
      <c r="E33" s="590"/>
      <c r="F33" s="590"/>
      <c r="G33" s="590"/>
      <c r="H33" s="590"/>
      <c r="I33" s="594"/>
    </row>
    <row r="34" spans="1:9" ht="18" customHeight="1">
      <c r="A34" s="189"/>
      <c r="C34" s="216"/>
      <c r="I34" s="188"/>
    </row>
    <row r="35" spans="1:9" ht="33" customHeight="1">
      <c r="A35" s="595" t="s">
        <v>217</v>
      </c>
      <c r="B35" s="596"/>
      <c r="C35" s="216"/>
      <c r="I35" s="188"/>
    </row>
    <row r="36" spans="1:9" ht="18.95" customHeight="1">
      <c r="A36" s="189"/>
      <c r="B36" s="225" t="s">
        <v>215</v>
      </c>
      <c r="C36" s="216"/>
      <c r="I36" s="188"/>
    </row>
    <row r="37" spans="1:9" ht="24.95" customHeight="1">
      <c r="A37" s="223" t="s">
        <v>218</v>
      </c>
      <c r="B37" s="224">
        <f>(B26/B29)</f>
        <v>4.2796005706134094E-2</v>
      </c>
      <c r="C37" s="216"/>
      <c r="I37" s="188"/>
    </row>
    <row r="38" spans="1:9" ht="24.95" customHeight="1">
      <c r="A38" s="189"/>
      <c r="C38" s="216"/>
      <c r="I38" s="188"/>
    </row>
    <row r="39" spans="1:9" ht="19.5" customHeight="1">
      <c r="A39" s="564" t="s">
        <v>219</v>
      </c>
      <c r="B39" s="565"/>
      <c r="C39" s="565"/>
      <c r="D39" s="565"/>
      <c r="E39" s="565"/>
      <c r="F39" s="565"/>
      <c r="G39" s="565"/>
      <c r="H39" s="566"/>
      <c r="I39" s="188"/>
    </row>
    <row r="40" spans="1:9" ht="19.5" customHeight="1">
      <c r="A40" s="207"/>
      <c r="B40" s="226" t="s">
        <v>220</v>
      </c>
      <c r="C40" s="226" t="s">
        <v>221</v>
      </c>
      <c r="D40" s="226" t="s">
        <v>222</v>
      </c>
      <c r="E40" s="226" t="s">
        <v>223</v>
      </c>
      <c r="F40" s="226" t="s">
        <v>224</v>
      </c>
      <c r="G40" s="226" t="s">
        <v>225</v>
      </c>
      <c r="H40" s="227" t="s">
        <v>226</v>
      </c>
      <c r="I40" s="188"/>
    </row>
    <row r="41" spans="1:9" ht="19.5" customHeight="1">
      <c r="A41" s="207" t="s">
        <v>227</v>
      </c>
      <c r="B41" s="62">
        <v>0</v>
      </c>
      <c r="C41" s="62">
        <v>0</v>
      </c>
      <c r="D41" s="62">
        <v>0</v>
      </c>
      <c r="E41" s="62">
        <v>0</v>
      </c>
      <c r="F41" s="62">
        <v>0</v>
      </c>
      <c r="G41" s="62">
        <v>0</v>
      </c>
      <c r="H41" s="60">
        <v>0</v>
      </c>
      <c r="I41" s="188"/>
    </row>
    <row r="42" spans="1:9" ht="19.5" customHeight="1">
      <c r="A42" s="207" t="s">
        <v>228</v>
      </c>
      <c r="B42" s="62">
        <v>0</v>
      </c>
      <c r="C42" s="62">
        <v>0</v>
      </c>
      <c r="D42" s="62">
        <v>0</v>
      </c>
      <c r="E42" s="62">
        <v>0</v>
      </c>
      <c r="F42" s="62">
        <v>0</v>
      </c>
      <c r="G42" s="62">
        <v>0</v>
      </c>
      <c r="H42" s="60">
        <v>0</v>
      </c>
      <c r="I42" s="188"/>
    </row>
    <row r="43" spans="1:9" ht="19.5" customHeight="1">
      <c r="A43" s="207" t="s">
        <v>229</v>
      </c>
      <c r="B43" s="62">
        <v>0</v>
      </c>
      <c r="C43" s="62">
        <v>0</v>
      </c>
      <c r="D43" s="62">
        <v>0</v>
      </c>
      <c r="E43" s="62">
        <v>0</v>
      </c>
      <c r="F43" s="62">
        <v>0</v>
      </c>
      <c r="G43" s="62">
        <v>0</v>
      </c>
      <c r="H43" s="60">
        <v>0</v>
      </c>
      <c r="I43" s="188"/>
    </row>
    <row r="44" spans="1:9" ht="19.5" customHeight="1">
      <c r="A44" s="207" t="s">
        <v>230</v>
      </c>
      <c r="B44" s="62">
        <v>0</v>
      </c>
      <c r="C44" s="62">
        <v>0</v>
      </c>
      <c r="D44" s="62">
        <v>0</v>
      </c>
      <c r="E44" s="62">
        <v>0</v>
      </c>
      <c r="F44" s="62">
        <v>0</v>
      </c>
      <c r="G44" s="62">
        <v>0</v>
      </c>
      <c r="H44" s="60">
        <v>0</v>
      </c>
      <c r="I44" s="188"/>
    </row>
    <row r="45" spans="1:9" ht="19.5" customHeight="1">
      <c r="A45" s="207" t="s">
        <v>231</v>
      </c>
      <c r="B45" s="62">
        <v>0</v>
      </c>
      <c r="C45" s="62">
        <v>0</v>
      </c>
      <c r="D45" s="62">
        <v>0</v>
      </c>
      <c r="E45" s="62">
        <v>0</v>
      </c>
      <c r="F45" s="62">
        <v>0</v>
      </c>
      <c r="G45" s="62">
        <v>0</v>
      </c>
      <c r="H45" s="60">
        <v>0</v>
      </c>
      <c r="I45" s="188"/>
    </row>
    <row r="46" spans="1:9" ht="19.5" customHeight="1">
      <c r="A46" s="207" t="s">
        <v>232</v>
      </c>
      <c r="B46" s="62">
        <v>0</v>
      </c>
      <c r="C46" s="62">
        <v>0</v>
      </c>
      <c r="D46" s="62">
        <v>0</v>
      </c>
      <c r="E46" s="62">
        <v>0</v>
      </c>
      <c r="F46" s="62">
        <v>0</v>
      </c>
      <c r="G46" s="62">
        <v>0</v>
      </c>
      <c r="H46" s="60">
        <v>0</v>
      </c>
      <c r="I46" s="188"/>
    </row>
    <row r="47" spans="1:9" ht="19.5" customHeight="1">
      <c r="A47" s="207" t="s">
        <v>233</v>
      </c>
      <c r="B47" s="62">
        <v>1</v>
      </c>
      <c r="C47" s="62">
        <v>0</v>
      </c>
      <c r="D47" s="62">
        <v>1</v>
      </c>
      <c r="E47" s="62">
        <v>0</v>
      </c>
      <c r="F47" s="62">
        <v>0</v>
      </c>
      <c r="G47" s="62">
        <v>0</v>
      </c>
      <c r="H47" s="60">
        <v>0</v>
      </c>
      <c r="I47" s="188"/>
    </row>
    <row r="48" spans="1:9" ht="19.5" customHeight="1">
      <c r="A48" s="207" t="s">
        <v>234</v>
      </c>
      <c r="B48" s="62">
        <v>0</v>
      </c>
      <c r="C48" s="62">
        <v>0</v>
      </c>
      <c r="D48" s="62">
        <v>0</v>
      </c>
      <c r="E48" s="62">
        <v>0</v>
      </c>
      <c r="F48" s="62">
        <v>0</v>
      </c>
      <c r="G48" s="62">
        <v>0</v>
      </c>
      <c r="H48" s="60">
        <v>0</v>
      </c>
      <c r="I48" s="188"/>
    </row>
    <row r="49" spans="1:9" ht="19.5" customHeight="1">
      <c r="A49" s="207" t="s">
        <v>235</v>
      </c>
      <c r="B49" s="62">
        <v>0</v>
      </c>
      <c r="C49" s="62">
        <v>0</v>
      </c>
      <c r="D49" s="62">
        <v>0</v>
      </c>
      <c r="E49" s="62">
        <v>0</v>
      </c>
      <c r="F49" s="62">
        <v>0</v>
      </c>
      <c r="G49" s="62">
        <v>0</v>
      </c>
      <c r="H49" s="60">
        <v>0</v>
      </c>
      <c r="I49" s="188"/>
    </row>
    <row r="50" spans="1:9" ht="19.5" customHeight="1">
      <c r="A50" s="207" t="s">
        <v>236</v>
      </c>
      <c r="B50" s="62">
        <v>61</v>
      </c>
      <c r="C50" s="62">
        <v>0</v>
      </c>
      <c r="D50" s="62">
        <v>61</v>
      </c>
      <c r="E50" s="62">
        <v>0</v>
      </c>
      <c r="F50" s="62">
        <v>0</v>
      </c>
      <c r="G50" s="62">
        <v>0</v>
      </c>
      <c r="H50" s="60">
        <v>0</v>
      </c>
      <c r="I50" s="188"/>
    </row>
    <row r="51" spans="1:9" ht="19.5" customHeight="1">
      <c r="A51" s="214" t="s">
        <v>14</v>
      </c>
      <c r="B51" s="228">
        <f>SUM(B41:B50)</f>
        <v>62</v>
      </c>
      <c r="C51" s="228">
        <f t="shared" ref="C51:H51" si="0">SUM(C41:C50)</f>
        <v>0</v>
      </c>
      <c r="D51" s="228">
        <f t="shared" si="0"/>
        <v>62</v>
      </c>
      <c r="E51" s="228">
        <f t="shared" si="0"/>
        <v>0</v>
      </c>
      <c r="F51" s="228">
        <f t="shared" si="0"/>
        <v>0</v>
      </c>
      <c r="G51" s="228">
        <f t="shared" si="0"/>
        <v>0</v>
      </c>
      <c r="H51" s="229">
        <f t="shared" si="0"/>
        <v>0</v>
      </c>
      <c r="I51" s="240"/>
    </row>
    <row r="52" spans="1:9" ht="19.5" customHeight="1">
      <c r="B52" s="155"/>
      <c r="C52" s="155"/>
      <c r="D52" s="155"/>
      <c r="E52" s="155"/>
      <c r="F52" s="155"/>
      <c r="G52" s="155"/>
      <c r="H52" s="155"/>
    </row>
    <row r="53" spans="1:9" ht="19.5" customHeight="1">
      <c r="A53"/>
      <c r="B53"/>
      <c r="C53"/>
      <c r="D53"/>
    </row>
    <row r="54" spans="1:9" ht="30" customHeight="1">
      <c r="A54" s="597" t="s">
        <v>237</v>
      </c>
      <c r="B54" s="598"/>
      <c r="C54" s="598"/>
      <c r="D54" s="599"/>
    </row>
    <row r="55" spans="1:9" ht="41.1" customHeight="1">
      <c r="A55" s="586" t="s">
        <v>238</v>
      </c>
      <c r="B55" s="587"/>
      <c r="C55" s="230">
        <v>4</v>
      </c>
      <c r="D55" s="592">
        <f>C55/C56</f>
        <v>9.3023255813953487E-2</v>
      </c>
    </row>
    <row r="56" spans="1:9" ht="33.950000000000003" customHeight="1">
      <c r="A56" s="588" t="s">
        <v>239</v>
      </c>
      <c r="B56" s="589"/>
      <c r="C56" s="231">
        <v>43</v>
      </c>
      <c r="D56" s="593"/>
    </row>
    <row r="57" spans="1:9" ht="80.099999999999994" customHeight="1">
      <c r="A57" s="590" t="s">
        <v>240</v>
      </c>
      <c r="B57" s="591"/>
      <c r="C57" s="591"/>
      <c r="D57" s="591"/>
      <c r="H57" s="232"/>
    </row>
    <row r="61" spans="1:9" ht="38.1" customHeight="1"/>
    <row r="62" spans="1:9" ht="27" customHeight="1"/>
    <row r="65" ht="29.1" customHeight="1"/>
    <row r="66" ht="26.1" customHeight="1"/>
  </sheetData>
  <mergeCells count="25">
    <mergeCell ref="A55:B55"/>
    <mergeCell ref="A56:B56"/>
    <mergeCell ref="A57:D57"/>
    <mergeCell ref="D55:D56"/>
    <mergeCell ref="A31:B31"/>
    <mergeCell ref="D33:I33"/>
    <mergeCell ref="A35:B35"/>
    <mergeCell ref="A39:H39"/>
    <mergeCell ref="A54:D54"/>
    <mergeCell ref="B14:F14"/>
    <mergeCell ref="B18:D18"/>
    <mergeCell ref="A21:F21"/>
    <mergeCell ref="A24:B24"/>
    <mergeCell ref="D24:I24"/>
    <mergeCell ref="A8:B8"/>
    <mergeCell ref="A10:F10"/>
    <mergeCell ref="B11:C11"/>
    <mergeCell ref="D11:E11"/>
    <mergeCell ref="B12:C12"/>
    <mergeCell ref="D12:E12"/>
    <mergeCell ref="A1:I1"/>
    <mergeCell ref="B3:E3"/>
    <mergeCell ref="B4:C4"/>
    <mergeCell ref="A6:B6"/>
    <mergeCell ref="A7:B7"/>
  </mergeCells>
  <pageMargins left="0.196850393700787" right="0.196850393700787" top="0.98425196850393704" bottom="0.31496062992126" header="0.31496062992126" footer="0.31496062992126"/>
  <pageSetup paperSize="9" scale="3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Layout" topLeftCell="A4" zoomScaleNormal="100" zoomScaleSheetLayoutView="100" workbookViewId="0">
      <selection activeCell="E25" sqref="E25"/>
    </sheetView>
  </sheetViews>
  <sheetFormatPr defaultColWidth="9" defaultRowHeight="17.25" customHeight="1"/>
  <cols>
    <col min="1" max="1" width="47.42578125" style="155" customWidth="1"/>
    <col min="2" max="2" width="20" style="156" customWidth="1"/>
    <col min="3" max="3" width="18.28515625" style="156" customWidth="1"/>
    <col min="4" max="4" width="17.85546875" style="156" customWidth="1"/>
    <col min="5" max="5" width="14.28515625" style="156" customWidth="1"/>
    <col min="6" max="6" width="18.7109375" style="156" customWidth="1"/>
    <col min="7" max="9" width="14.28515625" style="155" customWidth="1"/>
    <col min="10" max="10" width="16.85546875" style="155" customWidth="1"/>
    <col min="11" max="16383" width="9.140625" style="155"/>
    <col min="16384" max="16384" width="9" style="155"/>
  </cols>
  <sheetData>
    <row r="1" spans="1:10" s="154" customFormat="1" ht="17.25" customHeight="1">
      <c r="A1" s="600" t="s">
        <v>241</v>
      </c>
      <c r="B1" s="601"/>
      <c r="C1" s="601"/>
      <c r="D1" s="601"/>
      <c r="E1" s="601"/>
      <c r="F1" s="601"/>
      <c r="G1" s="601"/>
      <c r="H1" s="601"/>
      <c r="I1" s="601"/>
      <c r="J1" s="601"/>
    </row>
    <row r="2" spans="1:10" s="154" customFormat="1" ht="17.25" customHeight="1">
      <c r="A2" s="157"/>
      <c r="B2" s="158"/>
      <c r="C2" s="158"/>
      <c r="D2" s="158"/>
      <c r="E2" s="159"/>
      <c r="F2" s="159"/>
    </row>
    <row r="3" spans="1:10" s="154" customFormat="1" ht="17.25" customHeight="1">
      <c r="A3" s="160" t="s">
        <v>6</v>
      </c>
      <c r="B3" s="602" t="str">
        <f>Capa!D5</f>
        <v>HOSPITAL REGIONAL TEREZINHA GAIO BASSO</v>
      </c>
      <c r="C3" s="603"/>
      <c r="D3" s="603"/>
      <c r="E3" s="603"/>
      <c r="F3" s="159"/>
    </row>
    <row r="4" spans="1:10" s="154" customFormat="1" ht="17.25" customHeight="1">
      <c r="A4" s="160" t="s">
        <v>7</v>
      </c>
      <c r="B4" s="604">
        <f>Leitos!B4</f>
        <v>45931</v>
      </c>
      <c r="C4" s="604"/>
      <c r="D4" s="161"/>
      <c r="E4" s="161"/>
      <c r="F4" s="159"/>
    </row>
    <row r="5" spans="1:10" s="154" customFormat="1" ht="17.25" customHeight="1">
      <c r="A5" s="160"/>
      <c r="B5" s="162"/>
      <c r="C5" s="162"/>
      <c r="D5" s="161"/>
      <c r="E5" s="161"/>
      <c r="F5" s="159"/>
    </row>
    <row r="6" spans="1:10" s="154" customFormat="1" ht="17.25" customHeight="1">
      <c r="A6" s="564" t="s">
        <v>242</v>
      </c>
      <c r="B6" s="565"/>
      <c r="C6" s="565"/>
      <c r="D6" s="565"/>
      <c r="E6" s="565"/>
      <c r="F6" s="566"/>
    </row>
    <row r="7" spans="1:10" s="154" customFormat="1" ht="57" customHeight="1">
      <c r="A7" s="605" t="s">
        <v>243</v>
      </c>
      <c r="B7" s="568"/>
      <c r="C7" s="606" t="s">
        <v>244</v>
      </c>
      <c r="D7" s="606"/>
      <c r="E7" s="606" t="s">
        <v>245</v>
      </c>
      <c r="F7" s="607"/>
    </row>
    <row r="8" spans="1:10" s="154" customFormat="1" ht="35.25" customHeight="1">
      <c r="A8" s="608" t="s">
        <v>246</v>
      </c>
      <c r="B8" s="609"/>
      <c r="C8" s="568">
        <v>2513</v>
      </c>
      <c r="D8" s="568"/>
      <c r="E8" s="568">
        <v>171</v>
      </c>
      <c r="F8" s="610"/>
    </row>
    <row r="9" spans="1:10" s="154" customFormat="1" ht="17.25" customHeight="1">
      <c r="A9" s="608" t="s">
        <v>247</v>
      </c>
      <c r="B9" s="609"/>
      <c r="C9" s="568">
        <v>701</v>
      </c>
      <c r="D9" s="568"/>
      <c r="E9" s="568">
        <v>233</v>
      </c>
      <c r="F9" s="610"/>
    </row>
    <row r="10" spans="1:10" s="154" customFormat="1" ht="36" customHeight="1">
      <c r="A10" s="608" t="s">
        <v>248</v>
      </c>
      <c r="B10" s="609"/>
      <c r="C10" s="568">
        <f>4292+4171</f>
        <v>8463</v>
      </c>
      <c r="D10" s="568"/>
      <c r="E10" s="568">
        <v>266</v>
      </c>
      <c r="F10" s="610"/>
    </row>
    <row r="11" spans="1:10" s="154" customFormat="1" ht="17.25" customHeight="1">
      <c r="A11" s="608" t="s">
        <v>249</v>
      </c>
      <c r="B11" s="609"/>
      <c r="C11" s="568">
        <v>620</v>
      </c>
      <c r="D11" s="568"/>
      <c r="E11" s="568">
        <v>78</v>
      </c>
      <c r="F11" s="610"/>
    </row>
    <row r="12" spans="1:10" s="154" customFormat="1" ht="17.25" customHeight="1">
      <c r="A12" s="611" t="s">
        <v>14</v>
      </c>
      <c r="B12" s="612"/>
      <c r="C12" s="613">
        <f>SUM(C8:D11)</f>
        <v>12297</v>
      </c>
      <c r="D12" s="613"/>
      <c r="E12" s="613">
        <f>SUM(E8:F11)</f>
        <v>748</v>
      </c>
      <c r="F12" s="614"/>
    </row>
    <row r="13" spans="1:10" s="154" customFormat="1" ht="18" customHeight="1">
      <c r="A13" s="163"/>
      <c r="B13" s="164"/>
      <c r="C13" s="159"/>
      <c r="D13" s="165"/>
      <c r="E13" s="161"/>
      <c r="F13" s="159"/>
    </row>
    <row r="14" spans="1:10" ht="17.25" customHeight="1">
      <c r="A14" s="521" t="s">
        <v>250</v>
      </c>
      <c r="B14" s="522"/>
      <c r="C14" s="522"/>
      <c r="D14" s="522"/>
      <c r="E14" s="522"/>
      <c r="F14" s="522"/>
      <c r="G14" s="522"/>
      <c r="H14" s="522"/>
      <c r="I14" s="522"/>
      <c r="J14" s="522"/>
    </row>
    <row r="15" spans="1:10" ht="38.1" customHeight="1">
      <c r="A15" s="166" t="s">
        <v>251</v>
      </c>
      <c r="B15" s="167" t="s">
        <v>252</v>
      </c>
      <c r="C15" s="167" t="s">
        <v>253</v>
      </c>
      <c r="D15" s="167" t="s">
        <v>254</v>
      </c>
      <c r="E15" s="167" t="s">
        <v>255</v>
      </c>
      <c r="F15" s="167" t="s">
        <v>256</v>
      </c>
      <c r="G15" s="167" t="s">
        <v>257</v>
      </c>
      <c r="H15" s="167" t="s">
        <v>495</v>
      </c>
      <c r="I15" s="167" t="s">
        <v>258</v>
      </c>
      <c r="J15" s="174" t="s">
        <v>259</v>
      </c>
    </row>
    <row r="16" spans="1:10" ht="17.25" customHeight="1">
      <c r="A16" s="168" t="s">
        <v>260</v>
      </c>
      <c r="B16" s="169">
        <f>C8</f>
        <v>2513</v>
      </c>
      <c r="C16" s="170">
        <v>464</v>
      </c>
      <c r="D16" s="170">
        <v>1107</v>
      </c>
      <c r="E16" s="170">
        <v>110</v>
      </c>
      <c r="F16" s="170">
        <v>29</v>
      </c>
      <c r="G16" s="171">
        <f>SUM(C16:F16)</f>
        <v>1710</v>
      </c>
      <c r="H16" s="400">
        <f>(E8/C8)*100</f>
        <v>6.8046159968165547</v>
      </c>
      <c r="I16" s="172">
        <f>(C16+D16)/G16</f>
        <v>0.9187134502923977</v>
      </c>
      <c r="J16" s="175">
        <f>(E16+F16)/G16</f>
        <v>8.1286549707602337E-2</v>
      </c>
    </row>
    <row r="17" spans="1:10" ht="17.25" customHeight="1">
      <c r="A17" s="168" t="s">
        <v>261</v>
      </c>
      <c r="B17" s="169">
        <f>C9</f>
        <v>701</v>
      </c>
      <c r="C17" s="170">
        <v>878</v>
      </c>
      <c r="D17" s="170">
        <v>1176</v>
      </c>
      <c r="E17" s="170">
        <v>32</v>
      </c>
      <c r="F17" s="170">
        <v>11</v>
      </c>
      <c r="G17" s="171">
        <f>SUM(C17:F17)</f>
        <v>2097</v>
      </c>
      <c r="H17" s="400">
        <f>(E9/C9)*100</f>
        <v>33.238231098430816</v>
      </c>
      <c r="I17" s="172">
        <f>(C17+D17)/G17</f>
        <v>0.97949451597520265</v>
      </c>
      <c r="J17" s="175">
        <f>(E17+F17)/G17</f>
        <v>2.0505484024797328E-2</v>
      </c>
    </row>
    <row r="18" spans="1:10" ht="17.25" customHeight="1">
      <c r="A18" s="168" t="s">
        <v>262</v>
      </c>
      <c r="B18" s="169">
        <f>C10</f>
        <v>8463</v>
      </c>
      <c r="C18" s="170">
        <v>929</v>
      </c>
      <c r="D18" s="170">
        <v>1360</v>
      </c>
      <c r="E18" s="170">
        <v>94</v>
      </c>
      <c r="F18" s="170">
        <v>11</v>
      </c>
      <c r="G18" s="171">
        <f>SUM(C18:F18)</f>
        <v>2394</v>
      </c>
      <c r="H18" s="400">
        <f>(E10/C10)*100</f>
        <v>3.1430934656741107</v>
      </c>
      <c r="I18" s="172">
        <f>(C18+D18)/G18</f>
        <v>0.95614035087719296</v>
      </c>
      <c r="J18" s="175">
        <f>(E18+F18)/G18</f>
        <v>4.3859649122807015E-2</v>
      </c>
    </row>
    <row r="19" spans="1:10" ht="17.25" customHeight="1">
      <c r="A19" s="168" t="s">
        <v>263</v>
      </c>
      <c r="B19" s="169">
        <f>C11</f>
        <v>620</v>
      </c>
      <c r="C19" s="170">
        <v>171</v>
      </c>
      <c r="D19" s="170">
        <v>497</v>
      </c>
      <c r="E19" s="170">
        <v>27</v>
      </c>
      <c r="F19" s="170">
        <v>4</v>
      </c>
      <c r="G19" s="171">
        <f>SUM(C19:F19)</f>
        <v>699</v>
      </c>
      <c r="H19" s="400">
        <f>(E11/C11)*100</f>
        <v>12.580645161290322</v>
      </c>
      <c r="I19" s="172">
        <f>(C19+D19)/G19</f>
        <v>0.95565092989985689</v>
      </c>
      <c r="J19" s="175">
        <f>(E19+F19)/G19</f>
        <v>4.4349070100143065E-2</v>
      </c>
    </row>
    <row r="20" spans="1:10" ht="17.25" customHeight="1">
      <c r="A20" s="173" t="s">
        <v>264</v>
      </c>
      <c r="B20" s="431">
        <f>SUM(B16+B18+B17+B19)</f>
        <v>12297</v>
      </c>
      <c r="C20" s="431">
        <f>SUM(C16+C18+C17+C19)</f>
        <v>2442</v>
      </c>
      <c r="D20" s="431">
        <f>SUM(D16+D18+D17+D19)</f>
        <v>4140</v>
      </c>
      <c r="E20" s="431">
        <f>SUM(E16+E18+E17+E19)</f>
        <v>263</v>
      </c>
      <c r="F20" s="431">
        <f>SUM(F16+F18+F17+F19)</f>
        <v>55</v>
      </c>
      <c r="G20" s="431">
        <f>SUM(G16:G19)</f>
        <v>6900</v>
      </c>
      <c r="H20" s="432">
        <f>SUM(H16:H19)</f>
        <v>55.766585722211801</v>
      </c>
      <c r="I20" s="433">
        <f>(C20+D20)/G20</f>
        <v>0.95391304347826089</v>
      </c>
      <c r="J20" s="434">
        <f>(E20+F20)/G20</f>
        <v>4.6086956521739129E-2</v>
      </c>
    </row>
    <row r="21" spans="1:10" ht="17.25" customHeight="1">
      <c r="A21" s="615" t="s">
        <v>265</v>
      </c>
      <c r="B21" s="616"/>
      <c r="C21" s="616"/>
      <c r="D21" s="616"/>
      <c r="E21" s="616"/>
      <c r="F21" s="616"/>
      <c r="G21" s="616"/>
      <c r="H21" s="616"/>
      <c r="I21" s="616"/>
      <c r="J21" s="616"/>
    </row>
    <row r="22" spans="1:10" ht="17.25" customHeight="1">
      <c r="A22" s="616"/>
      <c r="B22" s="616"/>
      <c r="C22" s="616"/>
      <c r="D22" s="616"/>
      <c r="E22" s="616"/>
      <c r="F22" s="616"/>
      <c r="G22" s="616"/>
      <c r="H22" s="616"/>
      <c r="I22" s="616"/>
      <c r="J22" s="616"/>
    </row>
  </sheetData>
  <mergeCells count="24">
    <mergeCell ref="A12:B12"/>
    <mergeCell ref="C12:D12"/>
    <mergeCell ref="E12:F12"/>
    <mergeCell ref="A14:J14"/>
    <mergeCell ref="A21:J22"/>
    <mergeCell ref="A10:B10"/>
    <mergeCell ref="C10:D10"/>
    <mergeCell ref="E10:F10"/>
    <mergeCell ref="A11:B11"/>
    <mergeCell ref="C11:D11"/>
    <mergeCell ref="E11:F11"/>
    <mergeCell ref="A8:B8"/>
    <mergeCell ref="C8:D8"/>
    <mergeCell ref="E8:F8"/>
    <mergeCell ref="A9:B9"/>
    <mergeCell ref="C9:D9"/>
    <mergeCell ref="E9:F9"/>
    <mergeCell ref="A1:J1"/>
    <mergeCell ref="B3:E3"/>
    <mergeCell ref="B4:C4"/>
    <mergeCell ref="A6:F6"/>
    <mergeCell ref="A7:B7"/>
    <mergeCell ref="C7:D7"/>
    <mergeCell ref="E7:F7"/>
  </mergeCells>
  <pageMargins left="0.511811024" right="0.511811024" top="1.2083333333333299" bottom="0.78740157499999996" header="0.31496062000000002" footer="0.31496062000000002"/>
  <pageSetup paperSize="9" scale="6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83"/>
  <sheetViews>
    <sheetView showGridLines="0" showWhiteSpace="0" topLeftCell="A37" zoomScaleNormal="100" zoomScaleSheetLayoutView="80" zoomScalePageLayoutView="70" workbookViewId="0">
      <selection activeCell="B9" sqref="B9"/>
    </sheetView>
  </sheetViews>
  <sheetFormatPr defaultColWidth="9" defaultRowHeight="15"/>
  <cols>
    <col min="1" max="1" width="35.140625" style="92" customWidth="1"/>
    <col min="2" max="2" width="12.5703125" style="93" customWidth="1"/>
    <col min="3" max="3" width="12.28515625" style="94" customWidth="1"/>
    <col min="4" max="4" width="47.85546875" style="94" customWidth="1"/>
    <col min="5" max="6" width="8" style="94" customWidth="1"/>
    <col min="7" max="7" width="8" style="93" customWidth="1"/>
    <col min="8" max="8" width="10.7109375" style="93" customWidth="1"/>
    <col min="9" max="9" width="41" style="93" customWidth="1"/>
    <col min="10" max="12" width="14.5703125" style="92" customWidth="1"/>
    <col min="13" max="16381" width="9.140625" style="92"/>
    <col min="16382" max="16384" width="9" style="92"/>
  </cols>
  <sheetData>
    <row r="1" spans="1:12" ht="18.600000000000001" customHeight="1">
      <c r="A1" s="623" t="s">
        <v>266</v>
      </c>
      <c r="B1" s="624"/>
      <c r="C1" s="624"/>
      <c r="D1" s="624"/>
      <c r="E1" s="624"/>
      <c r="F1" s="624"/>
      <c r="G1" s="624"/>
      <c r="H1" s="624"/>
      <c r="I1" s="624"/>
      <c r="J1" s="624"/>
      <c r="K1" s="624"/>
      <c r="L1" s="625"/>
    </row>
    <row r="2" spans="1:12" ht="18.600000000000001" customHeight="1">
      <c r="A2" s="95"/>
      <c r="B2" s="96"/>
      <c r="C2" s="97"/>
      <c r="D2" s="97"/>
      <c r="E2" s="97"/>
      <c r="F2" s="97"/>
      <c r="G2" s="97"/>
      <c r="H2" s="97"/>
      <c r="I2" s="96"/>
      <c r="J2" s="137"/>
      <c r="K2" s="137"/>
      <c r="L2" s="138"/>
    </row>
    <row r="3" spans="1:12" ht="18.600000000000001" customHeight="1">
      <c r="A3" s="98" t="s">
        <v>6</v>
      </c>
      <c r="B3" s="626" t="str">
        <f>Capa!D5</f>
        <v>HOSPITAL REGIONAL TEREZINHA GAIO BASSO</v>
      </c>
      <c r="C3" s="627"/>
      <c r="D3" s="627"/>
      <c r="E3" s="627"/>
      <c r="G3" s="94"/>
      <c r="H3" s="94"/>
      <c r="I3" s="128"/>
      <c r="L3" s="125"/>
    </row>
    <row r="4" spans="1:12" ht="18.600000000000001" customHeight="1">
      <c r="A4" s="98" t="s">
        <v>7</v>
      </c>
      <c r="B4" s="628">
        <f>Leitos!B4</f>
        <v>45931</v>
      </c>
      <c r="C4" s="628"/>
      <c r="G4" s="94"/>
      <c r="H4" s="94"/>
      <c r="L4" s="125"/>
    </row>
    <row r="5" spans="1:12" ht="18.600000000000001" customHeight="1">
      <c r="A5" s="98"/>
      <c r="G5" s="94"/>
      <c r="H5" s="94"/>
      <c r="L5" s="125"/>
    </row>
    <row r="6" spans="1:12" ht="18.600000000000001" customHeight="1">
      <c r="A6" s="619" t="s">
        <v>267</v>
      </c>
      <c r="B6" s="620"/>
      <c r="C6" s="99"/>
      <c r="D6" s="629" t="s">
        <v>268</v>
      </c>
      <c r="E6" s="630"/>
      <c r="F6" s="630"/>
      <c r="G6" s="631"/>
      <c r="H6" s="92"/>
      <c r="I6" s="632" t="s">
        <v>269</v>
      </c>
      <c r="J6" s="633"/>
      <c r="K6" s="633"/>
      <c r="L6" s="634"/>
    </row>
    <row r="7" spans="1:12" ht="18.600000000000001" customHeight="1">
      <c r="A7" s="100"/>
      <c r="B7" s="101" t="s">
        <v>42</v>
      </c>
      <c r="C7" s="99"/>
      <c r="D7" s="102" t="s">
        <v>270</v>
      </c>
      <c r="E7" s="636"/>
      <c r="F7" s="636"/>
      <c r="G7" s="637"/>
      <c r="H7" s="103"/>
      <c r="I7" s="635" t="s">
        <v>270</v>
      </c>
      <c r="J7" s="617"/>
      <c r="K7" s="617"/>
      <c r="L7" s="618"/>
    </row>
    <row r="8" spans="1:12" ht="30">
      <c r="A8" s="104" t="s">
        <v>271</v>
      </c>
      <c r="B8" s="105">
        <f>B19+B29+B38+B52+F73+K26</f>
        <v>534</v>
      </c>
      <c r="C8" s="99"/>
      <c r="D8" s="102"/>
      <c r="E8" s="106" t="s">
        <v>272</v>
      </c>
      <c r="F8" s="106" t="s">
        <v>273</v>
      </c>
      <c r="G8" s="107" t="s">
        <v>274</v>
      </c>
      <c r="H8" s="103"/>
      <c r="I8" s="635"/>
      <c r="J8" s="106" t="s">
        <v>272</v>
      </c>
      <c r="K8" s="106" t="s">
        <v>273</v>
      </c>
      <c r="L8" s="107" t="s">
        <v>274</v>
      </c>
    </row>
    <row r="9" spans="1:12" ht="18.600000000000001" customHeight="1">
      <c r="A9" s="108"/>
      <c r="B9" s="109" t="str">
        <f>IF(B19+B29+B38+B48+B52+E73+F73+G73+J26+K26+L26=B8,"OK","REVER")</f>
        <v>OK</v>
      </c>
      <c r="C9" s="99"/>
      <c r="D9" s="110" t="s">
        <v>275</v>
      </c>
      <c r="E9" s="111"/>
      <c r="F9" s="111">
        <v>1</v>
      </c>
      <c r="G9" s="112"/>
      <c r="H9" s="92"/>
      <c r="I9" s="110" t="s">
        <v>276</v>
      </c>
      <c r="J9" s="139"/>
      <c r="K9" s="139">
        <v>2</v>
      </c>
      <c r="L9" s="140"/>
    </row>
    <row r="10" spans="1:12" ht="18.600000000000001" customHeight="1">
      <c r="A10" s="108"/>
      <c r="B10" s="92"/>
      <c r="C10" s="99"/>
      <c r="D10" s="110" t="s">
        <v>277</v>
      </c>
      <c r="E10" s="111"/>
      <c r="F10" s="111">
        <v>1</v>
      </c>
      <c r="G10" s="112"/>
      <c r="H10" s="92"/>
      <c r="I10" s="110" t="s">
        <v>278</v>
      </c>
      <c r="J10" s="139"/>
      <c r="K10" s="139">
        <v>16</v>
      </c>
      <c r="L10" s="140"/>
    </row>
    <row r="11" spans="1:12" ht="18.600000000000001" customHeight="1">
      <c r="A11" s="619" t="s">
        <v>279</v>
      </c>
      <c r="B11" s="620"/>
      <c r="C11" s="99"/>
      <c r="D11" s="110" t="s">
        <v>280</v>
      </c>
      <c r="E11" s="111"/>
      <c r="F11" s="111">
        <v>1</v>
      </c>
      <c r="G11" s="112"/>
      <c r="H11" s="92"/>
      <c r="I11" s="110" t="s">
        <v>281</v>
      </c>
      <c r="J11" s="139"/>
      <c r="K11" s="139">
        <v>0</v>
      </c>
      <c r="L11" s="140"/>
    </row>
    <row r="12" spans="1:12" ht="18.600000000000001" customHeight="1">
      <c r="A12" s="100"/>
      <c r="B12" s="101" t="s">
        <v>42</v>
      </c>
      <c r="C12" s="99"/>
      <c r="D12" s="110" t="s">
        <v>282</v>
      </c>
      <c r="E12" s="111"/>
      <c r="F12" s="111">
        <v>1</v>
      </c>
      <c r="G12" s="112"/>
      <c r="H12" s="92"/>
      <c r="I12" s="110" t="s">
        <v>283</v>
      </c>
      <c r="J12" s="139"/>
      <c r="K12" s="139">
        <v>5</v>
      </c>
      <c r="L12" s="140"/>
    </row>
    <row r="13" spans="1:12" ht="18.600000000000001" customHeight="1">
      <c r="A13" s="100" t="s">
        <v>284</v>
      </c>
      <c r="B13" s="113">
        <v>6</v>
      </c>
      <c r="C13" s="99"/>
      <c r="D13" s="110" t="s">
        <v>285</v>
      </c>
      <c r="E13" s="111"/>
      <c r="F13" s="111">
        <v>1</v>
      </c>
      <c r="G13" s="112"/>
      <c r="H13" s="92"/>
      <c r="I13" s="110" t="s">
        <v>286</v>
      </c>
      <c r="J13" s="139"/>
      <c r="K13" s="139">
        <v>5</v>
      </c>
      <c r="L13" s="140"/>
    </row>
    <row r="14" spans="1:12" ht="18.600000000000001" customHeight="1">
      <c r="A14" s="100" t="s">
        <v>287</v>
      </c>
      <c r="B14" s="113">
        <v>11</v>
      </c>
      <c r="C14" s="99"/>
      <c r="D14" s="110" t="s">
        <v>288</v>
      </c>
      <c r="E14" s="111"/>
      <c r="F14" s="111">
        <v>0</v>
      </c>
      <c r="G14" s="112"/>
      <c r="H14" s="92"/>
      <c r="I14" s="110" t="s">
        <v>289</v>
      </c>
      <c r="J14" s="139"/>
      <c r="K14" s="139">
        <v>2</v>
      </c>
      <c r="L14" s="140"/>
    </row>
    <row r="15" spans="1:12" ht="18.600000000000001" customHeight="1">
      <c r="A15" s="114" t="s">
        <v>290</v>
      </c>
      <c r="B15" s="115">
        <v>436</v>
      </c>
      <c r="C15" s="99"/>
      <c r="D15" s="110" t="s">
        <v>291</v>
      </c>
      <c r="E15" s="111"/>
      <c r="F15" s="111">
        <v>1</v>
      </c>
      <c r="G15" s="112"/>
      <c r="H15" s="92"/>
      <c r="I15" s="110" t="s">
        <v>292</v>
      </c>
      <c r="J15" s="139"/>
      <c r="K15" s="139">
        <v>1</v>
      </c>
      <c r="L15" s="140"/>
    </row>
    <row r="16" spans="1:12" ht="28.5" customHeight="1">
      <c r="A16" s="116"/>
      <c r="B16" s="117"/>
      <c r="C16" s="99"/>
      <c r="D16" s="110" t="s">
        <v>293</v>
      </c>
      <c r="E16" s="111"/>
      <c r="F16" s="111">
        <v>0</v>
      </c>
      <c r="G16" s="112"/>
      <c r="H16" s="92"/>
      <c r="I16" s="110" t="s">
        <v>294</v>
      </c>
      <c r="J16" s="139"/>
      <c r="K16" s="139">
        <v>7</v>
      </c>
      <c r="L16" s="140"/>
    </row>
    <row r="17" spans="1:12" ht="18.95" customHeight="1">
      <c r="A17" s="621" t="s">
        <v>295</v>
      </c>
      <c r="B17" s="622"/>
      <c r="C17" s="99"/>
      <c r="D17" s="110" t="s">
        <v>296</v>
      </c>
      <c r="E17" s="111"/>
      <c r="F17" s="111">
        <v>1</v>
      </c>
      <c r="G17" s="112"/>
      <c r="H17" s="92"/>
      <c r="I17" s="110" t="s">
        <v>297</v>
      </c>
      <c r="J17" s="139"/>
      <c r="K17" s="139">
        <v>1</v>
      </c>
      <c r="L17" s="140"/>
    </row>
    <row r="18" spans="1:12" ht="29.1" customHeight="1">
      <c r="A18" s="118"/>
      <c r="B18" s="119" t="s">
        <v>42</v>
      </c>
      <c r="C18" s="99"/>
      <c r="D18" s="110" t="s">
        <v>298</v>
      </c>
      <c r="E18" s="111"/>
      <c r="F18" s="111">
        <v>3</v>
      </c>
      <c r="G18" s="112"/>
      <c r="H18" s="92"/>
      <c r="I18" s="110" t="s">
        <v>299</v>
      </c>
      <c r="J18" s="139"/>
      <c r="K18" s="139">
        <v>12</v>
      </c>
      <c r="L18" s="140"/>
    </row>
    <row r="19" spans="1:12" ht="31.5" customHeight="1">
      <c r="A19" s="114" t="s">
        <v>300</v>
      </c>
      <c r="B19" s="120">
        <f>SUM(B20:B23)</f>
        <v>98</v>
      </c>
      <c r="C19" s="99"/>
      <c r="D19" s="110" t="s">
        <v>301</v>
      </c>
      <c r="E19" s="111"/>
      <c r="F19" s="111">
        <v>1</v>
      </c>
      <c r="G19" s="112"/>
      <c r="H19" s="92"/>
      <c r="I19" s="110" t="s">
        <v>302</v>
      </c>
      <c r="J19" s="139"/>
      <c r="K19" s="139">
        <v>1</v>
      </c>
      <c r="L19" s="140"/>
    </row>
    <row r="20" spans="1:12" ht="18.600000000000001" customHeight="1">
      <c r="A20" s="100" t="s">
        <v>303</v>
      </c>
      <c r="B20" s="121">
        <v>98</v>
      </c>
      <c r="C20" s="99"/>
      <c r="D20" s="110" t="s">
        <v>304</v>
      </c>
      <c r="E20" s="111"/>
      <c r="F20" s="111">
        <v>1</v>
      </c>
      <c r="G20" s="112"/>
      <c r="H20" s="92"/>
      <c r="I20" s="110" t="s">
        <v>305</v>
      </c>
      <c r="J20" s="139"/>
      <c r="K20" s="139">
        <v>1</v>
      </c>
      <c r="L20" s="140"/>
    </row>
    <row r="21" spans="1:12" ht="18.600000000000001" customHeight="1">
      <c r="A21" s="122" t="s">
        <v>272</v>
      </c>
      <c r="B21" s="121">
        <v>0</v>
      </c>
      <c r="C21" s="99"/>
      <c r="D21" s="110" t="s">
        <v>306</v>
      </c>
      <c r="E21" s="111"/>
      <c r="F21" s="111">
        <v>1</v>
      </c>
      <c r="G21" s="112"/>
      <c r="H21" s="92"/>
      <c r="I21" s="110" t="s">
        <v>307</v>
      </c>
      <c r="J21" s="139"/>
      <c r="K21" s="139">
        <v>2</v>
      </c>
      <c r="L21" s="140"/>
    </row>
    <row r="22" spans="1:12" ht="18.600000000000001" customHeight="1">
      <c r="A22" s="122" t="s">
        <v>308</v>
      </c>
      <c r="B22" s="123">
        <v>0</v>
      </c>
      <c r="C22" s="93"/>
      <c r="D22" s="110" t="s">
        <v>309</v>
      </c>
      <c r="E22" s="111"/>
      <c r="F22" s="111">
        <v>4</v>
      </c>
      <c r="G22" s="112"/>
      <c r="H22" s="92"/>
      <c r="I22" s="136" t="s">
        <v>310</v>
      </c>
      <c r="J22" s="141"/>
      <c r="K22" s="141">
        <v>0</v>
      </c>
      <c r="L22" s="142"/>
    </row>
    <row r="23" spans="1:12" ht="18.600000000000001" customHeight="1">
      <c r="A23" s="114" t="s">
        <v>311</v>
      </c>
      <c r="B23" s="124">
        <v>0</v>
      </c>
      <c r="C23" s="93"/>
      <c r="D23" s="110" t="s">
        <v>312</v>
      </c>
      <c r="E23" s="111"/>
      <c r="F23" s="111">
        <v>2</v>
      </c>
      <c r="G23" s="112"/>
      <c r="H23" s="92"/>
      <c r="I23" s="135" t="s">
        <v>313</v>
      </c>
      <c r="J23" s="143"/>
      <c r="K23" s="143"/>
      <c r="L23" s="143"/>
    </row>
    <row r="24" spans="1:12" ht="18.600000000000001" customHeight="1">
      <c r="A24" s="116"/>
      <c r="B24" s="103"/>
      <c r="C24" s="93"/>
      <c r="D24" s="110" t="s">
        <v>314</v>
      </c>
      <c r="E24" s="111"/>
      <c r="F24" s="111">
        <v>7</v>
      </c>
      <c r="G24" s="112"/>
      <c r="H24" s="92"/>
      <c r="I24" s="430" t="s">
        <v>731</v>
      </c>
      <c r="J24" s="428"/>
      <c r="K24" s="421">
        <v>2</v>
      </c>
      <c r="L24" s="143"/>
    </row>
    <row r="25" spans="1:12" ht="18.600000000000001" customHeight="1">
      <c r="A25" s="116"/>
      <c r="B25" s="103"/>
      <c r="C25" s="93"/>
      <c r="D25" s="110" t="s">
        <v>315</v>
      </c>
      <c r="E25" s="111"/>
      <c r="F25" s="111">
        <v>10</v>
      </c>
      <c r="G25" s="112"/>
      <c r="H25" s="92"/>
      <c r="I25" s="143"/>
      <c r="J25" s="144"/>
      <c r="K25" s="143"/>
      <c r="L25" s="143"/>
    </row>
    <row r="26" spans="1:12" ht="18.600000000000001" customHeight="1">
      <c r="A26" s="108"/>
      <c r="B26" s="94"/>
      <c r="C26" s="93"/>
      <c r="D26" s="110" t="s">
        <v>316</v>
      </c>
      <c r="E26" s="111"/>
      <c r="F26" s="111">
        <v>28</v>
      </c>
      <c r="G26" s="112"/>
      <c r="H26" s="92"/>
      <c r="I26" s="126" t="s">
        <v>39</v>
      </c>
      <c r="J26" s="145">
        <f>SUM(J9:J25)</f>
        <v>0</v>
      </c>
      <c r="K26" s="145">
        <f>SUM(K9:K25)</f>
        <v>57</v>
      </c>
      <c r="L26" s="145">
        <f>SUM(L9:L25)</f>
        <v>0</v>
      </c>
    </row>
    <row r="27" spans="1:12">
      <c r="A27" s="619" t="s">
        <v>317</v>
      </c>
      <c r="B27" s="620"/>
      <c r="C27" s="93"/>
      <c r="D27" s="417" t="s">
        <v>318</v>
      </c>
      <c r="E27" s="418"/>
      <c r="F27" s="419">
        <v>1</v>
      </c>
      <c r="G27" s="418"/>
      <c r="H27" s="92"/>
      <c r="I27" s="92"/>
      <c r="J27" s="94"/>
      <c r="L27" s="125"/>
    </row>
    <row r="28" spans="1:12" ht="18.600000000000001" customHeight="1">
      <c r="A28" s="100"/>
      <c r="B28" s="101" t="s">
        <v>42</v>
      </c>
      <c r="C28" s="93"/>
      <c r="D28" s="110" t="s">
        <v>319</v>
      </c>
      <c r="E28" s="111"/>
      <c r="F28" s="111">
        <v>1</v>
      </c>
      <c r="G28" s="112"/>
      <c r="H28" s="92"/>
      <c r="I28" s="92"/>
      <c r="J28" s="94"/>
      <c r="L28" s="125"/>
    </row>
    <row r="29" spans="1:12">
      <c r="A29" s="114" t="s">
        <v>320</v>
      </c>
      <c r="B29" s="120">
        <v>46</v>
      </c>
      <c r="C29" s="93"/>
      <c r="D29" s="110" t="s">
        <v>321</v>
      </c>
      <c r="E29" s="111"/>
      <c r="F29" s="111">
        <v>1</v>
      </c>
      <c r="G29" s="112"/>
      <c r="H29" s="92"/>
      <c r="I29" s="92"/>
      <c r="J29" s="94"/>
      <c r="L29" s="125"/>
    </row>
    <row r="30" spans="1:12" ht="18.600000000000001" customHeight="1">
      <c r="A30" s="122" t="s">
        <v>272</v>
      </c>
      <c r="B30" s="121">
        <v>0</v>
      </c>
      <c r="D30" s="110" t="s">
        <v>322</v>
      </c>
      <c r="E30" s="111"/>
      <c r="F30" s="111">
        <v>1</v>
      </c>
      <c r="G30" s="112"/>
      <c r="H30" s="92"/>
      <c r="I30" s="92"/>
      <c r="J30" s="94"/>
      <c r="L30" s="125"/>
    </row>
    <row r="31" spans="1:12" ht="18.600000000000001" customHeight="1">
      <c r="A31" s="122" t="s">
        <v>308</v>
      </c>
      <c r="B31" s="123">
        <v>46</v>
      </c>
      <c r="D31" s="110" t="s">
        <v>323</v>
      </c>
      <c r="E31" s="126"/>
      <c r="F31" s="126">
        <v>0</v>
      </c>
      <c r="G31" s="127"/>
      <c r="H31" s="92"/>
      <c r="I31" s="92"/>
      <c r="J31" s="94"/>
      <c r="L31" s="125"/>
    </row>
    <row r="32" spans="1:12" ht="18.600000000000001" customHeight="1">
      <c r="A32" s="114" t="s">
        <v>311</v>
      </c>
      <c r="B32" s="124">
        <v>0</v>
      </c>
      <c r="D32" s="110" t="s">
        <v>324</v>
      </c>
      <c r="E32" s="126"/>
      <c r="F32" s="126">
        <v>8</v>
      </c>
      <c r="G32" s="127"/>
      <c r="H32" s="92"/>
      <c r="I32" s="92"/>
      <c r="J32" s="94"/>
      <c r="L32" s="125"/>
    </row>
    <row r="33" spans="1:12" ht="18.600000000000001" customHeight="1">
      <c r="A33" s="116"/>
      <c r="B33" s="103"/>
      <c r="C33" s="128"/>
      <c r="D33" s="110" t="s">
        <v>325</v>
      </c>
      <c r="E33" s="126"/>
      <c r="F33" s="126">
        <v>1</v>
      </c>
      <c r="G33" s="127"/>
      <c r="H33" s="92"/>
      <c r="I33" s="92"/>
      <c r="J33" s="94"/>
      <c r="L33" s="125"/>
    </row>
    <row r="34" spans="1:12" ht="18.600000000000001" customHeight="1">
      <c r="A34" s="116"/>
      <c r="B34" s="103"/>
      <c r="D34" s="110" t="s">
        <v>326</v>
      </c>
      <c r="E34" s="126"/>
      <c r="F34" s="126">
        <v>6</v>
      </c>
      <c r="G34" s="127"/>
      <c r="H34" s="92"/>
      <c r="I34" s="92"/>
      <c r="J34" s="94"/>
      <c r="L34" s="125"/>
    </row>
    <row r="35" spans="1:12" ht="18.600000000000001" customHeight="1">
      <c r="A35" s="129"/>
      <c r="D35" s="110" t="s">
        <v>327</v>
      </c>
      <c r="E35" s="126"/>
      <c r="F35" s="126">
        <v>1</v>
      </c>
      <c r="G35" s="127"/>
      <c r="H35" s="92"/>
      <c r="I35" s="92"/>
      <c r="L35" s="125"/>
    </row>
    <row r="36" spans="1:12" ht="18.600000000000001" customHeight="1">
      <c r="A36" s="619" t="s">
        <v>328</v>
      </c>
      <c r="B36" s="620"/>
      <c r="D36" s="110" t="s">
        <v>329</v>
      </c>
      <c r="E36" s="126"/>
      <c r="F36" s="126">
        <v>0</v>
      </c>
      <c r="G36" s="127"/>
      <c r="H36" s="92"/>
      <c r="I36" s="92"/>
      <c r="L36" s="125"/>
    </row>
    <row r="37" spans="1:12">
      <c r="A37" s="100"/>
      <c r="B37" s="101" t="s">
        <v>42</v>
      </c>
      <c r="D37" s="110" t="s">
        <v>330</v>
      </c>
      <c r="E37" s="126"/>
      <c r="F37" s="126">
        <v>1</v>
      </c>
      <c r="G37" s="127"/>
      <c r="H37" s="92"/>
      <c r="I37" s="92"/>
      <c r="L37" s="125"/>
    </row>
    <row r="38" spans="1:12">
      <c r="A38" s="104" t="s">
        <v>331</v>
      </c>
      <c r="B38" s="130">
        <v>183</v>
      </c>
      <c r="D38" s="110" t="s">
        <v>332</v>
      </c>
      <c r="E38" s="126"/>
      <c r="F38" s="126">
        <v>1</v>
      </c>
      <c r="G38" s="127"/>
      <c r="H38" s="92"/>
      <c r="I38" s="92"/>
      <c r="L38" s="125"/>
    </row>
    <row r="39" spans="1:12">
      <c r="A39" s="122" t="s">
        <v>272</v>
      </c>
      <c r="B39" s="121">
        <v>0</v>
      </c>
      <c r="D39" s="110" t="s">
        <v>333</v>
      </c>
      <c r="E39" s="126"/>
      <c r="F39" s="126">
        <v>2</v>
      </c>
      <c r="G39" s="127"/>
      <c r="H39" s="92"/>
      <c r="I39" s="92"/>
      <c r="L39" s="125"/>
    </row>
    <row r="40" spans="1:12">
      <c r="A40" s="122" t="s">
        <v>308</v>
      </c>
      <c r="B40" s="123">
        <v>183</v>
      </c>
      <c r="D40" s="110" t="s">
        <v>334</v>
      </c>
      <c r="E40" s="126"/>
      <c r="F40" s="126">
        <v>1</v>
      </c>
      <c r="G40" s="127"/>
      <c r="H40" s="92"/>
      <c r="I40" s="92"/>
      <c r="L40" s="125"/>
    </row>
    <row r="41" spans="1:12">
      <c r="A41" s="114" t="s">
        <v>311</v>
      </c>
      <c r="B41" s="124">
        <v>0</v>
      </c>
      <c r="D41" s="110" t="s">
        <v>335</v>
      </c>
      <c r="E41" s="126"/>
      <c r="F41" s="126">
        <v>1</v>
      </c>
      <c r="G41" s="127"/>
      <c r="H41" s="92"/>
      <c r="I41" s="92"/>
      <c r="L41" s="125"/>
    </row>
    <row r="42" spans="1:12">
      <c r="A42" s="116"/>
      <c r="B42" s="103"/>
      <c r="D42" s="110" t="s">
        <v>336</v>
      </c>
      <c r="E42" s="126"/>
      <c r="F42" s="126">
        <v>1</v>
      </c>
      <c r="G42" s="127"/>
      <c r="H42" s="92"/>
      <c r="I42" s="92"/>
      <c r="L42" s="125"/>
    </row>
    <row r="43" spans="1:12">
      <c r="A43" s="116"/>
      <c r="B43" s="103"/>
      <c r="D43" s="110" t="s">
        <v>337</v>
      </c>
      <c r="E43" s="126"/>
      <c r="F43" s="126">
        <v>0</v>
      </c>
      <c r="G43" s="127"/>
      <c r="H43" s="92"/>
      <c r="I43" s="92"/>
      <c r="L43" s="125"/>
    </row>
    <row r="44" spans="1:12">
      <c r="A44" s="108"/>
      <c r="D44" s="110" t="s">
        <v>338</v>
      </c>
      <c r="E44" s="126"/>
      <c r="F44" s="126">
        <v>1</v>
      </c>
      <c r="G44" s="127"/>
      <c r="H44" s="92"/>
      <c r="I44" s="92"/>
      <c r="L44" s="125"/>
    </row>
    <row r="45" spans="1:12" ht="30">
      <c r="A45" s="108"/>
      <c r="D45" s="110" t="s">
        <v>339</v>
      </c>
      <c r="E45" s="126"/>
      <c r="F45" s="126">
        <v>7</v>
      </c>
      <c r="G45" s="127"/>
      <c r="H45" s="92"/>
      <c r="I45" s="92"/>
      <c r="L45" s="125"/>
    </row>
    <row r="46" spans="1:12">
      <c r="A46" s="619" t="s">
        <v>340</v>
      </c>
      <c r="B46" s="620"/>
      <c r="D46" s="110" t="s">
        <v>341</v>
      </c>
      <c r="E46" s="126"/>
      <c r="F46" s="126">
        <v>1</v>
      </c>
      <c r="G46" s="127"/>
      <c r="H46" s="92"/>
      <c r="I46" s="92"/>
      <c r="L46" s="125"/>
    </row>
    <row r="47" spans="1:12">
      <c r="A47" s="100"/>
      <c r="B47" s="101" t="s">
        <v>42</v>
      </c>
      <c r="D47" s="110" t="s">
        <v>342</v>
      </c>
      <c r="E47" s="126"/>
      <c r="F47" s="126">
        <v>0</v>
      </c>
      <c r="G47" s="127"/>
      <c r="H47" s="92"/>
      <c r="I47" s="92"/>
      <c r="L47" s="125"/>
    </row>
    <row r="48" spans="1:12" ht="30">
      <c r="A48" s="104" t="s">
        <v>343</v>
      </c>
      <c r="B48" s="105">
        <v>0</v>
      </c>
      <c r="D48" s="110" t="s">
        <v>344</v>
      </c>
      <c r="E48" s="126"/>
      <c r="F48" s="126">
        <v>2</v>
      </c>
      <c r="G48" s="127"/>
      <c r="H48" s="92"/>
      <c r="I48" s="92"/>
      <c r="L48" s="125"/>
    </row>
    <row r="49" spans="1:12">
      <c r="A49" s="108"/>
      <c r="D49" s="110" t="s">
        <v>345</v>
      </c>
      <c r="E49" s="126"/>
      <c r="F49" s="126">
        <v>1</v>
      </c>
      <c r="G49" s="127"/>
      <c r="H49" s="92"/>
      <c r="I49" s="92"/>
      <c r="L49" s="125"/>
    </row>
    <row r="50" spans="1:12">
      <c r="A50" s="619" t="s">
        <v>346</v>
      </c>
      <c r="B50" s="620"/>
      <c r="D50" s="110" t="s">
        <v>347</v>
      </c>
      <c r="E50" s="126"/>
      <c r="F50" s="126">
        <v>2</v>
      </c>
      <c r="G50" s="127"/>
      <c r="H50" s="92"/>
      <c r="I50" s="92"/>
      <c r="L50" s="125"/>
    </row>
    <row r="51" spans="1:12">
      <c r="A51" s="118"/>
      <c r="B51" s="101" t="s">
        <v>42</v>
      </c>
      <c r="D51" s="110" t="s">
        <v>348</v>
      </c>
      <c r="E51" s="126"/>
      <c r="F51" s="126">
        <v>18</v>
      </c>
      <c r="G51" s="127"/>
      <c r="H51" s="92"/>
      <c r="I51" s="92"/>
      <c r="L51" s="125"/>
    </row>
    <row r="52" spans="1:12">
      <c r="A52" s="131" t="s">
        <v>349</v>
      </c>
      <c r="B52" s="132">
        <f>SUM(B53:B56)</f>
        <v>0</v>
      </c>
      <c r="D52" s="110" t="s">
        <v>350</v>
      </c>
      <c r="E52" s="126"/>
      <c r="F52" s="126">
        <v>1</v>
      </c>
      <c r="G52" s="127"/>
      <c r="H52" s="92"/>
      <c r="I52" s="92"/>
      <c r="L52" s="125"/>
    </row>
    <row r="53" spans="1:12">
      <c r="A53" s="133"/>
      <c r="B53" s="121">
        <v>0</v>
      </c>
      <c r="D53" s="110" t="s">
        <v>351</v>
      </c>
      <c r="E53" s="126"/>
      <c r="F53" s="126">
        <v>1</v>
      </c>
      <c r="G53" s="127"/>
      <c r="H53" s="92"/>
      <c r="I53" s="92"/>
      <c r="L53" s="125"/>
    </row>
    <row r="54" spans="1:12">
      <c r="A54" s="133"/>
      <c r="B54" s="121">
        <v>0</v>
      </c>
      <c r="D54" s="110" t="s">
        <v>352</v>
      </c>
      <c r="E54" s="126"/>
      <c r="F54" s="126">
        <v>0</v>
      </c>
      <c r="G54" s="127"/>
      <c r="H54" s="92"/>
      <c r="I54" s="92"/>
      <c r="L54" s="125"/>
    </row>
    <row r="55" spans="1:12">
      <c r="A55" s="100"/>
      <c r="B55" s="121">
        <v>0</v>
      </c>
      <c r="D55" s="110" t="s">
        <v>353</v>
      </c>
      <c r="E55" s="126"/>
      <c r="F55" s="126">
        <v>1</v>
      </c>
      <c r="G55" s="127"/>
      <c r="H55" s="92"/>
      <c r="I55" s="92"/>
      <c r="L55" s="125"/>
    </row>
    <row r="56" spans="1:12">
      <c r="A56" s="134"/>
      <c r="B56" s="124">
        <v>0</v>
      </c>
      <c r="D56" s="110" t="s">
        <v>354</v>
      </c>
      <c r="E56" s="126"/>
      <c r="F56" s="126">
        <v>2</v>
      </c>
      <c r="G56" s="127"/>
      <c r="H56" s="92"/>
      <c r="I56" s="92"/>
      <c r="L56" s="125"/>
    </row>
    <row r="57" spans="1:12">
      <c r="A57" s="108"/>
      <c r="B57" s="92"/>
      <c r="D57" s="110" t="s">
        <v>355</v>
      </c>
      <c r="E57" s="126"/>
      <c r="F57" s="126">
        <v>2</v>
      </c>
      <c r="G57" s="127"/>
      <c r="H57" s="92"/>
      <c r="I57" s="92"/>
      <c r="L57" s="125"/>
    </row>
    <row r="58" spans="1:12">
      <c r="A58" s="108"/>
      <c r="D58" s="110" t="s">
        <v>356</v>
      </c>
      <c r="E58" s="126"/>
      <c r="F58" s="126">
        <v>2</v>
      </c>
      <c r="G58" s="127"/>
      <c r="H58" s="92"/>
      <c r="I58" s="92"/>
      <c r="L58" s="125"/>
    </row>
    <row r="59" spans="1:12">
      <c r="A59" s="108"/>
      <c r="D59" s="135" t="s">
        <v>313</v>
      </c>
      <c r="E59" s="126"/>
      <c r="F59" s="126"/>
      <c r="G59" s="127"/>
      <c r="H59" s="92"/>
      <c r="I59" s="92"/>
      <c r="L59" s="125"/>
    </row>
    <row r="60" spans="1:12">
      <c r="A60" s="108"/>
      <c r="D60" s="420"/>
      <c r="E60" s="126"/>
      <c r="F60" s="126"/>
      <c r="G60" s="127"/>
      <c r="H60" s="92"/>
      <c r="I60" s="92"/>
      <c r="L60" s="125"/>
    </row>
    <row r="61" spans="1:12">
      <c r="A61" s="108"/>
      <c r="D61" s="420" t="s">
        <v>720</v>
      </c>
      <c r="E61" s="421"/>
      <c r="F61" s="421">
        <v>1</v>
      </c>
      <c r="G61" s="127"/>
      <c r="H61" s="92"/>
      <c r="I61" s="92"/>
      <c r="L61" s="125"/>
    </row>
    <row r="62" spans="1:12">
      <c r="A62" s="108"/>
      <c r="C62" s="92"/>
      <c r="D62" s="422" t="s">
        <v>721</v>
      </c>
      <c r="E62" s="421"/>
      <c r="F62" s="421">
        <v>1</v>
      </c>
      <c r="G62" s="127"/>
      <c r="H62" s="92"/>
      <c r="I62" s="92"/>
      <c r="L62" s="125"/>
    </row>
    <row r="63" spans="1:12">
      <c r="A63" s="108"/>
      <c r="C63" s="92"/>
      <c r="D63" s="423" t="s">
        <v>722</v>
      </c>
      <c r="E63" s="421"/>
      <c r="F63" s="421">
        <v>1</v>
      </c>
      <c r="G63" s="126"/>
      <c r="H63" s="92"/>
      <c r="I63" s="92"/>
      <c r="L63" s="125"/>
    </row>
    <row r="64" spans="1:12">
      <c r="A64" s="108"/>
      <c r="D64" s="420" t="s">
        <v>730</v>
      </c>
      <c r="E64" s="421"/>
      <c r="F64" s="421">
        <v>5</v>
      </c>
      <c r="G64" s="126"/>
      <c r="L64" s="125"/>
    </row>
    <row r="65" spans="1:12">
      <c r="A65" s="108"/>
      <c r="D65" s="420" t="s">
        <v>723</v>
      </c>
      <c r="E65" s="421"/>
      <c r="F65" s="421">
        <v>3</v>
      </c>
      <c r="G65" s="126"/>
      <c r="L65" s="125"/>
    </row>
    <row r="66" spans="1:12">
      <c r="A66" s="108"/>
      <c r="D66" s="420" t="s">
        <v>724</v>
      </c>
      <c r="E66" s="421"/>
      <c r="F66" s="421">
        <v>1</v>
      </c>
      <c r="G66" s="146"/>
      <c r="L66" s="125"/>
    </row>
    <row r="67" spans="1:12">
      <c r="A67" s="108"/>
      <c r="D67" s="422" t="s">
        <v>725</v>
      </c>
      <c r="E67" s="424"/>
      <c r="F67" s="424">
        <v>2</v>
      </c>
      <c r="G67" s="126"/>
      <c r="H67" s="92"/>
      <c r="I67" s="92"/>
      <c r="L67" s="125"/>
    </row>
    <row r="68" spans="1:12">
      <c r="A68" s="108"/>
      <c r="D68" s="425" t="s">
        <v>726</v>
      </c>
      <c r="E68" s="421"/>
      <c r="F68" s="421">
        <v>1</v>
      </c>
      <c r="G68" s="146"/>
      <c r="I68" s="92"/>
      <c r="L68" s="125"/>
    </row>
    <row r="69" spans="1:12">
      <c r="A69" s="108"/>
      <c r="D69" s="426" t="s">
        <v>727</v>
      </c>
      <c r="E69" s="424"/>
      <c r="F69" s="424">
        <v>1</v>
      </c>
      <c r="G69" s="126"/>
      <c r="H69" s="92"/>
      <c r="I69" s="92"/>
      <c r="L69" s="125"/>
    </row>
    <row r="70" spans="1:12">
      <c r="A70" s="108"/>
      <c r="D70" s="425" t="s">
        <v>728</v>
      </c>
      <c r="E70" s="421"/>
      <c r="F70" s="421">
        <v>1</v>
      </c>
      <c r="G70" s="126"/>
      <c r="H70" s="92"/>
      <c r="I70" s="92"/>
      <c r="L70" s="125"/>
    </row>
    <row r="71" spans="1:12">
      <c r="A71" s="108"/>
      <c r="D71" s="427" t="s">
        <v>729</v>
      </c>
      <c r="E71" s="428"/>
      <c r="F71" s="421">
        <v>1</v>
      </c>
      <c r="G71" s="143"/>
      <c r="H71" s="92"/>
      <c r="I71" s="92"/>
      <c r="L71" s="125"/>
    </row>
    <row r="72" spans="1:12">
      <c r="A72" s="108"/>
      <c r="D72" s="429"/>
      <c r="E72" s="144"/>
      <c r="F72" s="126"/>
      <c r="G72" s="143"/>
      <c r="H72" s="92"/>
      <c r="I72" s="92"/>
      <c r="L72" s="125"/>
    </row>
    <row r="73" spans="1:12">
      <c r="A73" s="147"/>
      <c r="B73" s="148"/>
      <c r="C73" s="149"/>
      <c r="D73" s="150" t="s">
        <v>39</v>
      </c>
      <c r="E73" s="151">
        <f>SUM(E9:E72)</f>
        <v>0</v>
      </c>
      <c r="F73" s="151">
        <f>SUM(F9:F72)</f>
        <v>150</v>
      </c>
      <c r="G73" s="151">
        <f>SUM(G9:G72)</f>
        <v>0</v>
      </c>
      <c r="H73" s="152"/>
      <c r="I73" s="152"/>
      <c r="J73" s="152"/>
      <c r="K73" s="152"/>
      <c r="L73" s="153"/>
    </row>
    <row r="74" spans="1:12">
      <c r="F74" s="92"/>
      <c r="G74" s="92"/>
      <c r="H74" s="92"/>
      <c r="I74" s="92"/>
    </row>
    <row r="75" spans="1:12">
      <c r="F75" s="92"/>
      <c r="G75" s="92"/>
      <c r="H75" s="92"/>
      <c r="I75" s="92"/>
    </row>
    <row r="76" spans="1:12">
      <c r="F76" s="92"/>
      <c r="G76" s="92"/>
      <c r="H76" s="92"/>
      <c r="I76" s="92"/>
    </row>
    <row r="77" spans="1:12">
      <c r="F77" s="92"/>
      <c r="G77" s="92"/>
      <c r="H77" s="92"/>
      <c r="I77" s="92"/>
    </row>
    <row r="78" spans="1:12">
      <c r="F78" s="92"/>
      <c r="G78" s="92"/>
      <c r="H78" s="92"/>
      <c r="I78" s="92"/>
    </row>
    <row r="79" spans="1:12">
      <c r="F79" s="92"/>
      <c r="G79" s="92"/>
      <c r="H79" s="92"/>
      <c r="I79" s="92"/>
    </row>
    <row r="80" spans="1:12">
      <c r="F80" s="92"/>
      <c r="G80" s="92"/>
      <c r="H80" s="92"/>
      <c r="I80" s="92"/>
    </row>
    <row r="81" spans="6:9">
      <c r="F81" s="92"/>
      <c r="G81" s="92"/>
      <c r="H81" s="92"/>
      <c r="I81" s="92"/>
    </row>
    <row r="82" spans="6:9">
      <c r="F82" s="92"/>
      <c r="G82" s="92"/>
      <c r="H82" s="92"/>
      <c r="I82" s="92"/>
    </row>
    <row r="83" spans="6:9">
      <c r="F83" s="92"/>
      <c r="G83" s="92"/>
      <c r="H83" s="92"/>
      <c r="I83" s="92"/>
    </row>
  </sheetData>
  <sortState xmlns:xlrd2="http://schemas.microsoft.com/office/spreadsheetml/2017/richdata2" ref="A75:A134">
    <sortCondition ref="A75"/>
  </sortState>
  <mergeCells count="15">
    <mergeCell ref="A36:B36"/>
    <mergeCell ref="A46:B46"/>
    <mergeCell ref="A50:B50"/>
    <mergeCell ref="I7:I8"/>
    <mergeCell ref="E7:G7"/>
    <mergeCell ref="J7:L7"/>
    <mergeCell ref="A11:B11"/>
    <mergeCell ref="A17:B17"/>
    <mergeCell ref="A27:B27"/>
    <mergeCell ref="A1:L1"/>
    <mergeCell ref="B3:E3"/>
    <mergeCell ref="B4:C4"/>
    <mergeCell ref="A6:B6"/>
    <mergeCell ref="D6:G6"/>
    <mergeCell ref="I6:L6"/>
  </mergeCells>
  <pageMargins left="0.78740157480314998" right="0.78740157480314998" top="0.98425196850393704" bottom="0.39370078740157499" header="0.31496062992126" footer="0.31496062992126"/>
  <pageSetup paperSize="9" scale="43" orientation="landscape" r:id="rId1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43"/>
  <sheetViews>
    <sheetView showGridLines="0" view="pageBreakPreview" zoomScale="90" zoomScaleNormal="100" zoomScalePageLayoutView="70" workbookViewId="0">
      <selection activeCell="B20" sqref="B20"/>
    </sheetView>
  </sheetViews>
  <sheetFormatPr defaultColWidth="4.28515625" defaultRowHeight="12.75"/>
  <cols>
    <col min="1" max="1" width="56.42578125" style="69" customWidth="1"/>
    <col min="2" max="2" width="21.28515625" style="69" customWidth="1"/>
    <col min="3" max="3" width="7.42578125" style="70" customWidth="1"/>
    <col min="4" max="4" width="51.85546875" style="70" customWidth="1"/>
    <col min="5" max="5" width="18" style="70" customWidth="1"/>
    <col min="6" max="6" width="24" style="70" customWidth="1"/>
    <col min="7" max="7" width="17" style="70" customWidth="1"/>
    <col min="8" max="16384" width="4.28515625" style="70"/>
  </cols>
  <sheetData>
    <row r="1" spans="1:7" ht="18.600000000000001" customHeight="1">
      <c r="A1" s="638" t="s">
        <v>357</v>
      </c>
      <c r="B1" s="639"/>
      <c r="C1" s="639"/>
      <c r="D1" s="639"/>
      <c r="E1" s="639"/>
      <c r="F1" s="639"/>
      <c r="G1" s="640"/>
    </row>
    <row r="2" spans="1:7" ht="18.600000000000001" customHeight="1">
      <c r="A2" s="71"/>
      <c r="G2" s="72"/>
    </row>
    <row r="3" spans="1:7" ht="18.600000000000001" customHeight="1">
      <c r="A3" s="73" t="s">
        <v>6</v>
      </c>
      <c r="B3" s="74" t="str">
        <f>Capa!D5</f>
        <v>HOSPITAL REGIONAL TEREZINHA GAIO BASSO</v>
      </c>
      <c r="C3" s="75"/>
      <c r="D3" s="75"/>
      <c r="E3" s="76"/>
      <c r="F3" s="77"/>
      <c r="G3" s="72"/>
    </row>
    <row r="4" spans="1:7" ht="18.600000000000001" customHeight="1">
      <c r="A4" s="73" t="s">
        <v>7</v>
      </c>
      <c r="B4" s="78">
        <f>Assistencial!B4</f>
        <v>45931</v>
      </c>
      <c r="D4" s="69"/>
      <c r="E4" s="76"/>
      <c r="F4" s="76"/>
      <c r="G4" s="72"/>
    </row>
    <row r="5" spans="1:7" ht="18.600000000000001" customHeight="1">
      <c r="A5" s="71"/>
      <c r="D5" s="641" t="s">
        <v>358</v>
      </c>
      <c r="E5" s="641"/>
      <c r="F5" s="641"/>
      <c r="G5" s="79"/>
    </row>
    <row r="6" spans="1:7" ht="18.600000000000001" customHeight="1">
      <c r="A6" s="642" t="s">
        <v>359</v>
      </c>
      <c r="B6" s="643"/>
      <c r="D6" s="644" t="s">
        <v>360</v>
      </c>
      <c r="E6" s="645"/>
      <c r="F6" s="645"/>
      <c r="G6" s="646"/>
    </row>
    <row r="7" spans="1:7" ht="18.600000000000001" customHeight="1">
      <c r="A7" s="47"/>
      <c r="B7" s="49" t="s">
        <v>361</v>
      </c>
      <c r="D7" s="80" t="s">
        <v>362</v>
      </c>
      <c r="E7" s="51" t="s">
        <v>363</v>
      </c>
      <c r="F7" s="51" t="s">
        <v>364</v>
      </c>
      <c r="G7" s="52" t="s">
        <v>365</v>
      </c>
    </row>
    <row r="8" spans="1:7" ht="18.600000000000001" customHeight="1">
      <c r="A8" s="47" t="s">
        <v>366</v>
      </c>
      <c r="B8" s="53">
        <v>857.54</v>
      </c>
      <c r="D8" s="403" t="s">
        <v>514</v>
      </c>
      <c r="E8" s="406" t="s">
        <v>515</v>
      </c>
      <c r="F8" s="406" t="s">
        <v>516</v>
      </c>
      <c r="G8" s="407">
        <v>5.85</v>
      </c>
    </row>
    <row r="9" spans="1:7" ht="18.600000000000001" customHeight="1">
      <c r="A9" s="57" t="s">
        <v>367</v>
      </c>
      <c r="B9" s="58">
        <v>742818.24</v>
      </c>
      <c r="D9" s="403" t="s">
        <v>517</v>
      </c>
      <c r="E9" s="406" t="s">
        <v>518</v>
      </c>
      <c r="F9" s="406" t="s">
        <v>519</v>
      </c>
      <c r="G9" s="407">
        <v>152</v>
      </c>
    </row>
    <row r="10" spans="1:7" ht="15">
      <c r="A10" s="47"/>
      <c r="B10" s="37"/>
      <c r="D10" s="403" t="s">
        <v>520</v>
      </c>
      <c r="E10" s="406" t="s">
        <v>521</v>
      </c>
      <c r="F10" s="406" t="s">
        <v>522</v>
      </c>
      <c r="G10" s="407">
        <v>2557</v>
      </c>
    </row>
    <row r="11" spans="1:7" ht="30" customHeight="1">
      <c r="A11" s="647" t="s">
        <v>368</v>
      </c>
      <c r="B11" s="648"/>
      <c r="D11" s="403" t="s">
        <v>523</v>
      </c>
      <c r="E11" s="406" t="s">
        <v>524</v>
      </c>
      <c r="F11" s="406" t="s">
        <v>525</v>
      </c>
      <c r="G11" s="407">
        <v>11.99</v>
      </c>
    </row>
    <row r="12" spans="1:7" ht="15.95" customHeight="1">
      <c r="A12" s="47"/>
      <c r="B12" s="49" t="s">
        <v>369</v>
      </c>
      <c r="D12" s="403" t="s">
        <v>526</v>
      </c>
      <c r="E12" s="406" t="s">
        <v>527</v>
      </c>
      <c r="F12" s="406" t="s">
        <v>528</v>
      </c>
      <c r="G12" s="407">
        <v>3.5</v>
      </c>
    </row>
    <row r="13" spans="1:7" ht="18.600000000000001" customHeight="1">
      <c r="A13" s="47" t="s">
        <v>370</v>
      </c>
      <c r="B13" s="60">
        <v>7</v>
      </c>
      <c r="D13" s="403" t="s">
        <v>529</v>
      </c>
      <c r="E13" s="406" t="s">
        <v>530</v>
      </c>
      <c r="F13" s="406" t="s">
        <v>531</v>
      </c>
      <c r="G13" s="407">
        <v>5.75</v>
      </c>
    </row>
    <row r="14" spans="1:7" ht="18.600000000000001" customHeight="1">
      <c r="A14" s="57" t="s">
        <v>371</v>
      </c>
      <c r="B14" s="61">
        <v>292</v>
      </c>
      <c r="D14" s="403" t="s">
        <v>532</v>
      </c>
      <c r="E14" s="406" t="s">
        <v>533</v>
      </c>
      <c r="F14" s="406" t="s">
        <v>534</v>
      </c>
      <c r="G14" s="407">
        <v>149</v>
      </c>
    </row>
    <row r="15" spans="1:7" ht="18.600000000000001" customHeight="1">
      <c r="A15" s="36"/>
      <c r="B15" s="62"/>
      <c r="D15" s="403" t="s">
        <v>535</v>
      </c>
      <c r="E15" s="406" t="s">
        <v>536</v>
      </c>
      <c r="F15" s="406" t="s">
        <v>525</v>
      </c>
      <c r="G15" s="407">
        <v>70.2</v>
      </c>
    </row>
    <row r="16" spans="1:7" ht="18.600000000000001" customHeight="1">
      <c r="A16" s="649" t="s">
        <v>372</v>
      </c>
      <c r="B16" s="650"/>
      <c r="D16" s="403" t="s">
        <v>537</v>
      </c>
      <c r="E16" s="406" t="s">
        <v>538</v>
      </c>
      <c r="F16" s="406" t="s">
        <v>525</v>
      </c>
      <c r="G16" s="407">
        <v>64.17</v>
      </c>
    </row>
    <row r="17" spans="1:7" ht="18.600000000000001" customHeight="1">
      <c r="A17" s="651" t="s">
        <v>373</v>
      </c>
      <c r="B17" s="652"/>
      <c r="D17" s="403" t="s">
        <v>539</v>
      </c>
      <c r="E17" s="406" t="s">
        <v>540</v>
      </c>
      <c r="F17" s="406" t="s">
        <v>541</v>
      </c>
      <c r="G17" s="407">
        <v>10.45</v>
      </c>
    </row>
    <row r="18" spans="1:7" ht="18.600000000000001" customHeight="1">
      <c r="A18" s="47"/>
      <c r="B18" s="49" t="s">
        <v>374</v>
      </c>
      <c r="D18" s="403" t="s">
        <v>542</v>
      </c>
      <c r="E18" s="406" t="s">
        <v>543</v>
      </c>
      <c r="F18" s="406" t="s">
        <v>544</v>
      </c>
      <c r="G18" s="407">
        <v>40</v>
      </c>
    </row>
    <row r="19" spans="1:7" ht="18.600000000000001" customHeight="1">
      <c r="A19" s="47" t="s">
        <v>375</v>
      </c>
      <c r="B19" s="60">
        <v>127</v>
      </c>
      <c r="D19" s="403" t="s">
        <v>545</v>
      </c>
      <c r="E19" s="406" t="s">
        <v>546</v>
      </c>
      <c r="F19" s="406" t="s">
        <v>547</v>
      </c>
      <c r="G19" s="407">
        <v>91.26</v>
      </c>
    </row>
    <row r="20" spans="1:7" ht="15">
      <c r="A20" s="57" t="s">
        <v>376</v>
      </c>
      <c r="B20" s="61">
        <v>315771</v>
      </c>
      <c r="D20" s="403" t="s">
        <v>548</v>
      </c>
      <c r="E20" s="406" t="s">
        <v>524</v>
      </c>
      <c r="F20" s="406" t="s">
        <v>544</v>
      </c>
      <c r="G20" s="407">
        <v>107.5</v>
      </c>
    </row>
    <row r="21" spans="1:7" ht="18.600000000000001" customHeight="1">
      <c r="A21" s="36"/>
      <c r="B21" s="62"/>
      <c r="D21" s="403" t="s">
        <v>549</v>
      </c>
      <c r="E21" s="406" t="s">
        <v>524</v>
      </c>
      <c r="F21" s="406" t="s">
        <v>528</v>
      </c>
      <c r="G21" s="407">
        <v>13.75</v>
      </c>
    </row>
    <row r="22" spans="1:7" ht="18.600000000000001" customHeight="1">
      <c r="A22" s="36"/>
      <c r="B22" s="37"/>
      <c r="D22" s="403" t="s">
        <v>550</v>
      </c>
      <c r="E22" s="406" t="s">
        <v>57</v>
      </c>
      <c r="F22" s="406" t="s">
        <v>57</v>
      </c>
      <c r="G22" s="407" t="s">
        <v>57</v>
      </c>
    </row>
    <row r="23" spans="1:7" ht="18.600000000000001" customHeight="1">
      <c r="A23" s="47"/>
      <c r="B23" s="37"/>
      <c r="D23" s="403" t="s">
        <v>551</v>
      </c>
      <c r="E23" s="406" t="s">
        <v>552</v>
      </c>
      <c r="F23" s="406" t="s">
        <v>553</v>
      </c>
      <c r="G23" s="407">
        <v>75.2</v>
      </c>
    </row>
    <row r="24" spans="1:7" ht="28.5" customHeight="1">
      <c r="A24" s="653"/>
      <c r="B24" s="653"/>
      <c r="D24" s="403" t="s">
        <v>554</v>
      </c>
      <c r="E24" s="406" t="s">
        <v>515</v>
      </c>
      <c r="F24" s="406" t="s">
        <v>555</v>
      </c>
      <c r="G24" s="407">
        <v>6.75</v>
      </c>
    </row>
    <row r="25" spans="1:7" ht="18.600000000000001" customHeight="1">
      <c r="A25" s="36"/>
      <c r="B25" s="37"/>
      <c r="D25" s="403" t="s">
        <v>556</v>
      </c>
      <c r="E25" s="406" t="s">
        <v>524</v>
      </c>
      <c r="F25" s="406" t="s">
        <v>541</v>
      </c>
      <c r="G25" s="407">
        <v>13.4</v>
      </c>
    </row>
    <row r="26" spans="1:7" ht="18.600000000000001" customHeight="1">
      <c r="A26" s="36"/>
      <c r="B26" s="62"/>
      <c r="D26" s="403" t="s">
        <v>557</v>
      </c>
      <c r="E26" s="406" t="s">
        <v>558</v>
      </c>
      <c r="F26" s="406" t="s">
        <v>559</v>
      </c>
      <c r="G26" s="407">
        <v>9.4</v>
      </c>
    </row>
    <row r="27" spans="1:7" ht="27.75" customHeight="1">
      <c r="A27" s="36"/>
      <c r="B27" s="62"/>
      <c r="D27" s="403" t="s">
        <v>560</v>
      </c>
      <c r="E27" s="406" t="s">
        <v>524</v>
      </c>
      <c r="F27" s="406" t="s">
        <v>531</v>
      </c>
      <c r="G27" s="407">
        <v>7.55</v>
      </c>
    </row>
    <row r="28" spans="1:7" ht="18.600000000000001" customHeight="1">
      <c r="A28" s="36"/>
      <c r="B28" s="37"/>
      <c r="D28" s="403" t="s">
        <v>561</v>
      </c>
      <c r="E28" s="406" t="s">
        <v>524</v>
      </c>
      <c r="F28" s="406" t="s">
        <v>562</v>
      </c>
      <c r="G28" s="407">
        <v>2.4900000000000002</v>
      </c>
    </row>
    <row r="29" spans="1:7" ht="18.600000000000001" customHeight="1">
      <c r="A29" s="36"/>
      <c r="B29" s="37"/>
      <c r="D29" s="403" t="s">
        <v>563</v>
      </c>
      <c r="E29" s="406" t="s">
        <v>524</v>
      </c>
      <c r="F29" s="406" t="s">
        <v>525</v>
      </c>
      <c r="G29" s="407">
        <v>3.65</v>
      </c>
    </row>
    <row r="30" spans="1:7" ht="16.5" customHeight="1">
      <c r="A30" s="654"/>
      <c r="B30" s="654"/>
      <c r="D30" s="82"/>
      <c r="E30" s="83"/>
      <c r="F30" s="83"/>
      <c r="G30" s="84"/>
    </row>
    <row r="31" spans="1:7" ht="17.100000000000001" customHeight="1">
      <c r="A31" s="36"/>
      <c r="B31" s="37"/>
      <c r="D31" s="81"/>
      <c r="E31" s="83"/>
      <c r="F31" s="83"/>
      <c r="G31" s="84"/>
    </row>
    <row r="32" spans="1:7" ht="17.100000000000001" customHeight="1">
      <c r="A32" s="36"/>
      <c r="B32" s="62"/>
      <c r="D32" s="81"/>
      <c r="E32" s="83"/>
      <c r="F32" s="83"/>
      <c r="G32" s="84"/>
    </row>
    <row r="33" spans="1:7" ht="17.100000000000001" customHeight="1">
      <c r="A33" s="36"/>
      <c r="B33" s="62"/>
      <c r="D33" s="82"/>
      <c r="E33" s="83"/>
      <c r="F33" s="83"/>
      <c r="G33" s="84"/>
    </row>
    <row r="34" spans="1:7" ht="17.100000000000001" customHeight="1">
      <c r="A34" s="36"/>
      <c r="B34" s="37"/>
      <c r="D34" s="81"/>
      <c r="E34" s="83"/>
      <c r="F34" s="83"/>
      <c r="G34" s="84"/>
    </row>
    <row r="35" spans="1:7" ht="17.100000000000001" customHeight="1">
      <c r="A35" s="36"/>
      <c r="B35" s="37"/>
      <c r="D35" s="81"/>
      <c r="E35" s="83"/>
      <c r="F35" s="83"/>
      <c r="G35" s="84"/>
    </row>
    <row r="36" spans="1:7" ht="17.100000000000001" customHeight="1">
      <c r="A36" s="654"/>
      <c r="B36" s="654"/>
      <c r="D36" s="81"/>
      <c r="E36" s="83"/>
      <c r="F36" s="83"/>
      <c r="G36" s="84"/>
    </row>
    <row r="37" spans="1:7" ht="15">
      <c r="A37" s="36"/>
      <c r="B37" s="37"/>
      <c r="D37" s="82"/>
      <c r="E37" s="83"/>
      <c r="F37" s="83"/>
      <c r="G37" s="84"/>
    </row>
    <row r="38" spans="1:7" ht="15">
      <c r="A38" s="36"/>
      <c r="B38" s="62"/>
      <c r="D38" s="81"/>
      <c r="E38" s="83"/>
      <c r="F38" s="83"/>
      <c r="G38" s="84"/>
    </row>
    <row r="39" spans="1:7" ht="15">
      <c r="A39" s="85"/>
      <c r="B39" s="85"/>
      <c r="C39" s="86"/>
      <c r="D39" s="81"/>
      <c r="E39" s="87"/>
      <c r="F39" s="87"/>
      <c r="G39" s="88"/>
    </row>
    <row r="40" spans="1:7" ht="15">
      <c r="D40" s="81"/>
      <c r="E40" s="83"/>
      <c r="F40" s="83"/>
      <c r="G40" s="84"/>
    </row>
    <row r="41" spans="1:7" ht="15">
      <c r="D41" s="82"/>
      <c r="E41" s="83"/>
      <c r="F41" s="83"/>
      <c r="G41" s="84"/>
    </row>
    <row r="42" spans="1:7" ht="15">
      <c r="D42" s="82"/>
      <c r="E42" s="83"/>
      <c r="F42" s="83"/>
      <c r="G42" s="84"/>
    </row>
    <row r="43" spans="1:7" ht="15">
      <c r="D43" s="89"/>
      <c r="E43" s="90"/>
      <c r="F43" s="90"/>
      <c r="G43" s="91"/>
    </row>
  </sheetData>
  <sheetProtection selectLockedCells="1"/>
  <mergeCells count="10">
    <mergeCell ref="A16:B16"/>
    <mergeCell ref="A17:B17"/>
    <mergeCell ref="A24:B24"/>
    <mergeCell ref="A30:B30"/>
    <mergeCell ref="A36:B36"/>
    <mergeCell ref="A1:G1"/>
    <mergeCell ref="D5:F5"/>
    <mergeCell ref="A6:B6"/>
    <mergeCell ref="D6:G6"/>
    <mergeCell ref="A11:B11"/>
  </mergeCells>
  <pageMargins left="0.196850393700787" right="0.196850393700787" top="1.2" bottom="0.39370078740157499" header="0.31496062992126" footer="0.31496062992126"/>
  <pageSetup paperSize="9" scale="62" orientation="landscape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5"/>
  <sheetViews>
    <sheetView showGridLines="0" view="pageBreakPreview" zoomScale="80" zoomScaleNormal="90" zoomScalePageLayoutView="70" workbookViewId="0">
      <selection activeCell="B21" sqref="B21"/>
    </sheetView>
  </sheetViews>
  <sheetFormatPr defaultColWidth="0.85546875" defaultRowHeight="22.5" customHeight="1"/>
  <cols>
    <col min="1" max="1" width="57.140625" style="36" customWidth="1"/>
    <col min="2" max="2" width="27" style="37" customWidth="1"/>
    <col min="3" max="3" width="8" style="38" customWidth="1"/>
    <col min="4" max="4" width="76.140625" style="38" customWidth="1"/>
    <col min="5" max="5" width="19.42578125" style="38" customWidth="1"/>
    <col min="6" max="6" width="17.5703125" style="38" customWidth="1"/>
    <col min="7" max="8" width="15" style="38" customWidth="1"/>
    <col min="9" max="16384" width="0.85546875" style="38"/>
  </cols>
  <sheetData>
    <row r="1" spans="1:6" ht="22.5" customHeight="1">
      <c r="A1" s="655" t="s">
        <v>377</v>
      </c>
      <c r="B1" s="656"/>
      <c r="C1" s="656"/>
      <c r="D1" s="656"/>
      <c r="E1" s="656"/>
      <c r="F1" s="657"/>
    </row>
    <row r="2" spans="1:6" ht="22.5" customHeight="1">
      <c r="A2" s="39"/>
      <c r="B2" s="40"/>
      <c r="F2" s="41"/>
    </row>
    <row r="3" spans="1:6" ht="22.5" customHeight="1">
      <c r="A3" s="42" t="s">
        <v>6</v>
      </c>
      <c r="B3" s="658" t="str">
        <f>Assistencial!B3</f>
        <v>HOSPITAL REGIONAL TEREZINHA GAIO BASSO</v>
      </c>
      <c r="C3" s="658"/>
      <c r="D3" s="658"/>
      <c r="E3" s="43"/>
      <c r="F3" s="41"/>
    </row>
    <row r="4" spans="1:6" ht="22.5" customHeight="1">
      <c r="A4" s="42" t="s">
        <v>7</v>
      </c>
      <c r="B4" s="44">
        <f>Leitos!B4</f>
        <v>45931</v>
      </c>
      <c r="C4" s="45"/>
      <c r="D4" s="46"/>
      <c r="E4" s="46"/>
      <c r="F4" s="41"/>
    </row>
    <row r="5" spans="1:6" ht="22.5" customHeight="1">
      <c r="A5" s="47"/>
      <c r="D5" s="48" t="s">
        <v>378</v>
      </c>
      <c r="F5" s="41"/>
    </row>
    <row r="6" spans="1:6" ht="22.5" customHeight="1">
      <c r="A6" s="642" t="s">
        <v>379</v>
      </c>
      <c r="B6" s="643"/>
      <c r="D6" s="644" t="s">
        <v>380</v>
      </c>
      <c r="E6" s="645"/>
      <c r="F6" s="646"/>
    </row>
    <row r="7" spans="1:6" ht="22.5" customHeight="1">
      <c r="A7" s="47"/>
      <c r="B7" s="49" t="s">
        <v>361</v>
      </c>
      <c r="D7" s="50" t="s">
        <v>381</v>
      </c>
      <c r="E7" s="51" t="s">
        <v>382</v>
      </c>
      <c r="F7" s="52" t="s">
        <v>365</v>
      </c>
    </row>
    <row r="8" spans="1:6" ht="22.5" customHeight="1">
      <c r="A8" s="47" t="s">
        <v>383</v>
      </c>
      <c r="B8" s="53">
        <v>0</v>
      </c>
      <c r="D8" s="403" t="s">
        <v>502</v>
      </c>
      <c r="E8" s="404" t="s">
        <v>503</v>
      </c>
      <c r="F8" s="405">
        <v>15.96</v>
      </c>
    </row>
    <row r="9" spans="1:6" ht="22.5" customHeight="1">
      <c r="A9" s="57" t="s">
        <v>384</v>
      </c>
      <c r="B9" s="58">
        <v>280575.15000000002</v>
      </c>
      <c r="D9" s="403" t="s">
        <v>504</v>
      </c>
      <c r="E9" s="404" t="s">
        <v>505</v>
      </c>
      <c r="F9" s="405">
        <v>115</v>
      </c>
    </row>
    <row r="10" spans="1:6" ht="22.5" customHeight="1">
      <c r="A10" s="47"/>
      <c r="D10" s="403" t="s">
        <v>506</v>
      </c>
      <c r="E10" s="404" t="s">
        <v>507</v>
      </c>
      <c r="F10" s="405">
        <v>149</v>
      </c>
    </row>
    <row r="11" spans="1:6" ht="36" customHeight="1">
      <c r="A11" s="649" t="s">
        <v>385</v>
      </c>
      <c r="B11" s="650"/>
      <c r="D11" s="403" t="s">
        <v>508</v>
      </c>
      <c r="E11" s="404" t="s">
        <v>57</v>
      </c>
      <c r="F11" s="405" t="s">
        <v>57</v>
      </c>
    </row>
    <row r="12" spans="1:6" ht="22.5" customHeight="1">
      <c r="A12" s="651" t="s">
        <v>386</v>
      </c>
      <c r="B12" s="652"/>
      <c r="D12" s="403" t="s">
        <v>509</v>
      </c>
      <c r="E12" s="404" t="s">
        <v>505</v>
      </c>
      <c r="F12" s="405">
        <v>22</v>
      </c>
    </row>
    <row r="13" spans="1:6" ht="22.5" customHeight="1">
      <c r="A13" s="47"/>
      <c r="B13" s="49" t="s">
        <v>387</v>
      </c>
      <c r="D13" s="403" t="s">
        <v>510</v>
      </c>
      <c r="E13" s="404" t="s">
        <v>505</v>
      </c>
      <c r="F13" s="405">
        <v>21</v>
      </c>
    </row>
    <row r="14" spans="1:6" ht="22.5" customHeight="1">
      <c r="A14" s="47" t="s">
        <v>388</v>
      </c>
      <c r="B14" s="60">
        <v>34</v>
      </c>
      <c r="D14" s="403" t="s">
        <v>511</v>
      </c>
      <c r="E14" s="404" t="s">
        <v>512</v>
      </c>
      <c r="F14" s="405">
        <v>40.729999999999997</v>
      </c>
    </row>
    <row r="15" spans="1:6" ht="22.5" customHeight="1">
      <c r="A15" s="57" t="s">
        <v>389</v>
      </c>
      <c r="B15" s="61">
        <v>188075</v>
      </c>
      <c r="D15" s="403" t="s">
        <v>513</v>
      </c>
      <c r="E15" s="404" t="s">
        <v>507</v>
      </c>
      <c r="F15" s="405">
        <v>1.99</v>
      </c>
    </row>
    <row r="16" spans="1:6" ht="32.25" customHeight="1">
      <c r="A16" s="47"/>
      <c r="D16" s="59"/>
      <c r="E16" s="55"/>
      <c r="F16" s="56"/>
    </row>
    <row r="17" spans="1:6" ht="22.5" customHeight="1">
      <c r="A17" s="649" t="s">
        <v>390</v>
      </c>
      <c r="B17" s="650"/>
      <c r="D17" s="59"/>
      <c r="E17" s="55"/>
      <c r="F17" s="56"/>
    </row>
    <row r="18" spans="1:6" ht="22.5" customHeight="1">
      <c r="A18" s="651" t="s">
        <v>386</v>
      </c>
      <c r="B18" s="652"/>
      <c r="D18" s="54"/>
      <c r="E18" s="55"/>
      <c r="F18" s="56"/>
    </row>
    <row r="19" spans="1:6" ht="22.5" customHeight="1">
      <c r="A19" s="47"/>
      <c r="B19" s="49" t="s">
        <v>391</v>
      </c>
      <c r="D19" s="54"/>
      <c r="E19" s="55"/>
      <c r="F19" s="56"/>
    </row>
    <row r="20" spans="1:6" ht="22.5" customHeight="1">
      <c r="A20" s="47" t="s">
        <v>392</v>
      </c>
      <c r="B20" s="60">
        <v>0</v>
      </c>
      <c r="D20" s="54"/>
      <c r="E20" s="55"/>
      <c r="F20" s="56"/>
    </row>
    <row r="21" spans="1:6" ht="22.5" customHeight="1">
      <c r="A21" s="57" t="s">
        <v>393</v>
      </c>
      <c r="B21" s="61">
        <v>240</v>
      </c>
      <c r="D21" s="59"/>
      <c r="E21" s="55"/>
      <c r="F21" s="56"/>
    </row>
    <row r="22" spans="1:6" ht="22.5" customHeight="1">
      <c r="D22" s="54"/>
      <c r="E22" s="55"/>
      <c r="F22" s="56"/>
    </row>
    <row r="23" spans="1:6" ht="22.5" customHeight="1">
      <c r="B23" s="62"/>
      <c r="D23" s="54"/>
      <c r="E23" s="55"/>
      <c r="F23" s="56"/>
    </row>
    <row r="24" spans="1:6" ht="22.5" customHeight="1">
      <c r="D24" s="59"/>
      <c r="E24" s="55"/>
      <c r="F24" s="56"/>
    </row>
    <row r="25" spans="1:6" ht="22.5" customHeight="1">
      <c r="A25" s="63"/>
      <c r="B25" s="40"/>
      <c r="D25" s="54"/>
      <c r="E25" s="55"/>
      <c r="F25" s="56"/>
    </row>
    <row r="26" spans="1:6" ht="22.5" customHeight="1">
      <c r="A26" s="47"/>
      <c r="D26" s="54"/>
      <c r="E26" s="55"/>
      <c r="F26" s="56"/>
    </row>
    <row r="27" spans="1:6" ht="22.5" customHeight="1">
      <c r="A27" s="47"/>
      <c r="D27" s="54"/>
      <c r="E27" s="55"/>
      <c r="F27" s="56"/>
    </row>
    <row r="28" spans="1:6" ht="22.5" customHeight="1">
      <c r="A28" s="47"/>
      <c r="D28" s="59"/>
      <c r="E28" s="55"/>
      <c r="F28" s="56"/>
    </row>
    <row r="29" spans="1:6" ht="22.5" customHeight="1">
      <c r="D29" s="54"/>
      <c r="E29" s="64"/>
      <c r="F29" s="65"/>
    </row>
    <row r="30" spans="1:6" ht="22.5" customHeight="1">
      <c r="D30" s="59"/>
      <c r="E30" s="64"/>
      <c r="F30" s="65"/>
    </row>
    <row r="31" spans="1:6" ht="22.5" customHeight="1">
      <c r="D31" s="54"/>
      <c r="E31" s="64"/>
      <c r="F31" s="65"/>
    </row>
    <row r="32" spans="1:6" ht="22.5" customHeight="1">
      <c r="D32" s="54"/>
      <c r="E32" s="64"/>
      <c r="F32" s="65"/>
    </row>
    <row r="33" spans="4:6" ht="22.5" customHeight="1">
      <c r="D33" s="59"/>
      <c r="E33" s="64"/>
      <c r="F33" s="65"/>
    </row>
    <row r="34" spans="4:6" ht="22.5" customHeight="1">
      <c r="D34" s="59"/>
      <c r="E34" s="64"/>
      <c r="F34" s="65"/>
    </row>
    <row r="35" spans="4:6" ht="22.5" customHeight="1">
      <c r="D35" s="54"/>
      <c r="E35" s="64"/>
      <c r="F35" s="65"/>
    </row>
    <row r="36" spans="4:6" ht="22.5" customHeight="1">
      <c r="D36" s="59"/>
      <c r="E36" s="64"/>
      <c r="F36" s="65"/>
    </row>
    <row r="37" spans="4:6" ht="22.5" customHeight="1">
      <c r="D37" s="59"/>
      <c r="E37" s="64"/>
      <c r="F37" s="65"/>
    </row>
    <row r="38" spans="4:6" ht="22.5" customHeight="1">
      <c r="D38" s="59"/>
      <c r="E38" s="64"/>
      <c r="F38" s="65"/>
    </row>
    <row r="39" spans="4:6" ht="22.5" customHeight="1">
      <c r="D39" s="54"/>
      <c r="E39" s="64"/>
      <c r="F39" s="65"/>
    </row>
    <row r="40" spans="4:6" ht="22.5" customHeight="1">
      <c r="D40" s="59"/>
      <c r="E40" s="64"/>
      <c r="F40" s="65"/>
    </row>
    <row r="41" spans="4:6" ht="22.5" customHeight="1">
      <c r="D41" s="59"/>
      <c r="E41" s="64"/>
      <c r="F41" s="65"/>
    </row>
    <row r="42" spans="4:6" ht="22.5" customHeight="1">
      <c r="D42" s="54"/>
      <c r="E42" s="64"/>
      <c r="F42" s="65"/>
    </row>
    <row r="43" spans="4:6" ht="22.5" customHeight="1">
      <c r="D43" s="54"/>
      <c r="E43" s="64"/>
      <c r="F43" s="65"/>
    </row>
    <row r="44" spans="4:6" ht="22.5" customHeight="1">
      <c r="D44" s="54"/>
      <c r="E44" s="64"/>
      <c r="F44" s="65"/>
    </row>
    <row r="45" spans="4:6" ht="22.5" customHeight="1">
      <c r="D45" s="66"/>
      <c r="E45" s="67"/>
      <c r="F45" s="68"/>
    </row>
  </sheetData>
  <mergeCells count="8">
    <mergeCell ref="A12:B12"/>
    <mergeCell ref="A17:B17"/>
    <mergeCell ref="A18:B18"/>
    <mergeCell ref="A1:F1"/>
    <mergeCell ref="B3:D3"/>
    <mergeCell ref="A6:B6"/>
    <mergeCell ref="D6:F6"/>
    <mergeCell ref="A11:B11"/>
  </mergeCells>
  <pageMargins left="0.78740157480314998" right="0.50312500000000004" top="1.2351190476190499" bottom="0.39370078740157499" header="0.31496062992126" footer="0.31496062992126"/>
  <pageSetup paperSize="9" scale="40" orientation="portrait" r:id="rId1"/>
  <rowBreaks count="1" manualBreakCount="1">
    <brk id="23" max="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129"/>
  <sheetViews>
    <sheetView showGridLines="0" zoomScaleNormal="100" zoomScaleSheetLayoutView="100" zoomScalePageLayoutView="80" workbookViewId="0">
      <selection activeCell="J26" sqref="J26"/>
    </sheetView>
  </sheetViews>
  <sheetFormatPr defaultColWidth="9.140625" defaultRowHeight="21.75" customHeight="1"/>
  <cols>
    <col min="1" max="1" width="81.7109375" style="1" customWidth="1"/>
    <col min="2" max="2" width="25" style="1" customWidth="1"/>
    <col min="3" max="16384" width="9.140625" style="1"/>
  </cols>
  <sheetData>
    <row r="1" spans="1:2" ht="30.95" customHeight="1">
      <c r="A1" s="659" t="s">
        <v>394</v>
      </c>
      <c r="B1" s="660"/>
    </row>
    <row r="2" spans="1:2" ht="21.75" customHeight="1">
      <c r="A2" s="2"/>
      <c r="B2"/>
    </row>
    <row r="3" spans="1:2" ht="21.75" customHeight="1">
      <c r="A3" s="661" t="s">
        <v>395</v>
      </c>
      <c r="B3" s="661"/>
    </row>
    <row r="4" spans="1:2" ht="21.75" customHeight="1">
      <c r="A4" s="662" t="str">
        <f>Assistencial!B3</f>
        <v>HOSPITAL REGIONAL TEREZINHA GAIO BASSO</v>
      </c>
      <c r="B4" s="663"/>
    </row>
    <row r="5" spans="1:2" ht="21.75" customHeight="1">
      <c r="A5"/>
      <c r="B5"/>
    </row>
    <row r="6" spans="1:2" ht="21.75" customHeight="1">
      <c r="A6" s="664" t="s">
        <v>7</v>
      </c>
      <c r="B6" s="664"/>
    </row>
    <row r="7" spans="1:2" ht="21.75" customHeight="1">
      <c r="A7" s="665">
        <f>Assistencial!B4</f>
        <v>45931</v>
      </c>
      <c r="B7" s="665"/>
    </row>
    <row r="8" spans="1:2" ht="21.75" customHeight="1">
      <c r="B8" s="3"/>
    </row>
    <row r="9" spans="1:2" ht="21.75" customHeight="1">
      <c r="A9" s="4" t="s">
        <v>396</v>
      </c>
      <c r="B9" s="5">
        <f>A7</f>
        <v>45931</v>
      </c>
    </row>
    <row r="10" spans="1:2" ht="21.75" customHeight="1">
      <c r="A10" s="6" t="s">
        <v>397</v>
      </c>
      <c r="B10" s="7" t="s">
        <v>398</v>
      </c>
    </row>
    <row r="11" spans="1:2" ht="21.75" customHeight="1">
      <c r="A11" s="8" t="s">
        <v>399</v>
      </c>
      <c r="B11" s="9">
        <v>5561423.96</v>
      </c>
    </row>
    <row r="12" spans="1:2" ht="21.75" customHeight="1">
      <c r="A12" s="8" t="s">
        <v>400</v>
      </c>
      <c r="B12" s="9">
        <v>0</v>
      </c>
    </row>
    <row r="13" spans="1:2" ht="21.75" customHeight="1">
      <c r="A13" s="8" t="s">
        <v>401</v>
      </c>
      <c r="B13" s="9">
        <v>0</v>
      </c>
    </row>
    <row r="14" spans="1:2" ht="21.75" customHeight="1">
      <c r="A14" s="8" t="s">
        <v>402</v>
      </c>
      <c r="B14" s="9">
        <v>0</v>
      </c>
    </row>
    <row r="15" spans="1:2" ht="21.75" customHeight="1">
      <c r="A15" s="8" t="s">
        <v>403</v>
      </c>
      <c r="B15" s="9">
        <v>0</v>
      </c>
    </row>
    <row r="16" spans="1:2" ht="21.75" customHeight="1">
      <c r="A16" s="10" t="s">
        <v>404</v>
      </c>
      <c r="B16" s="11">
        <f>B11+B12+B13-B14-B15</f>
        <v>5561423.96</v>
      </c>
    </row>
    <row r="17" spans="1:2" ht="21.75" customHeight="1">
      <c r="A17" s="12" t="s">
        <v>405</v>
      </c>
      <c r="B17" s="9">
        <v>203101.94</v>
      </c>
    </row>
    <row r="18" spans="1:2" ht="21.75" customHeight="1">
      <c r="A18" s="12" t="s">
        <v>406</v>
      </c>
      <c r="B18" s="9">
        <v>0</v>
      </c>
    </row>
    <row r="19" spans="1:2" ht="21.75" customHeight="1">
      <c r="A19" s="12" t="s">
        <v>407</v>
      </c>
      <c r="B19" s="9">
        <v>0</v>
      </c>
    </row>
    <row r="20" spans="1:2" ht="21.75" customHeight="1">
      <c r="A20" s="12" t="s">
        <v>408</v>
      </c>
      <c r="B20" s="9">
        <v>0</v>
      </c>
    </row>
    <row r="21" spans="1:2" ht="21.75" customHeight="1">
      <c r="A21" s="12" t="s">
        <v>409</v>
      </c>
      <c r="B21" s="9">
        <f>350+176194.37+24272+97135</f>
        <v>297951.37</v>
      </c>
    </row>
    <row r="22" spans="1:2" ht="21.75" customHeight="1">
      <c r="A22" s="12" t="s">
        <v>410</v>
      </c>
      <c r="B22" s="9">
        <v>8965</v>
      </c>
    </row>
    <row r="23" spans="1:2" ht="21.75" customHeight="1">
      <c r="A23" s="10" t="s">
        <v>411</v>
      </c>
      <c r="B23" s="11">
        <f>SUM(B17:B22)</f>
        <v>510018.31</v>
      </c>
    </row>
    <row r="24" spans="1:2" ht="21.75" customHeight="1">
      <c r="A24" s="13" t="s">
        <v>412</v>
      </c>
      <c r="B24" s="14">
        <f>B23+B16</f>
        <v>6071442.2699999996</v>
      </c>
    </row>
    <row r="25" spans="1:2" ht="21.75" customHeight="1">
      <c r="A25" s="15"/>
      <c r="B25" s="16"/>
    </row>
    <row r="26" spans="1:2" ht="21.75" customHeight="1">
      <c r="A26" s="4" t="str">
        <f>A9</f>
        <v>DESCRIÇÃO</v>
      </c>
      <c r="B26" s="5">
        <f>B9</f>
        <v>45931</v>
      </c>
    </row>
    <row r="27" spans="1:2" ht="21.75" customHeight="1">
      <c r="A27" s="6" t="s">
        <v>413</v>
      </c>
      <c r="B27" s="7" t="s">
        <v>398</v>
      </c>
    </row>
    <row r="28" spans="1:2" ht="21.75" customHeight="1">
      <c r="A28" s="10" t="s">
        <v>414</v>
      </c>
      <c r="B28" s="11">
        <f>SUM(B30:B39)</f>
        <v>2278992.84</v>
      </c>
    </row>
    <row r="29" spans="1:2" ht="21.75" customHeight="1">
      <c r="A29" s="10" t="s">
        <v>415</v>
      </c>
      <c r="B29" s="11">
        <f>SUM(B30:B31)</f>
        <v>1749231.1</v>
      </c>
    </row>
    <row r="30" spans="1:2" ht="21.75" customHeight="1">
      <c r="A30" s="12" t="s">
        <v>416</v>
      </c>
      <c r="B30" s="9">
        <f>1739499.5-16847.14+26578.74</f>
        <v>1749231.1</v>
      </c>
    </row>
    <row r="31" spans="1:2" ht="21.75" customHeight="1">
      <c r="A31" s="12" t="s">
        <v>417</v>
      </c>
      <c r="B31" s="9">
        <v>0</v>
      </c>
    </row>
    <row r="32" spans="1:2" ht="21.75" customHeight="1">
      <c r="A32" s="12" t="s">
        <v>418</v>
      </c>
      <c r="B32" s="9">
        <v>0</v>
      </c>
    </row>
    <row r="33" spans="1:2" ht="21.75" customHeight="1">
      <c r="A33" s="12" t="s">
        <v>419</v>
      </c>
      <c r="B33" s="9">
        <f>190996.66-14940.89</f>
        <v>176055.77000000002</v>
      </c>
    </row>
    <row r="34" spans="1:2" ht="21.75" customHeight="1">
      <c r="A34" s="12" t="s">
        <v>420</v>
      </c>
      <c r="B34" s="9">
        <v>0</v>
      </c>
    </row>
    <row r="35" spans="1:2" ht="21.75" customHeight="1">
      <c r="A35" s="12" t="s">
        <v>421</v>
      </c>
      <c r="B35" s="17">
        <v>0</v>
      </c>
    </row>
    <row r="36" spans="1:2" ht="21.75" customHeight="1">
      <c r="A36" s="12" t="s">
        <v>422</v>
      </c>
      <c r="B36" s="17">
        <f>221831.09-7734</f>
        <v>214097.09</v>
      </c>
    </row>
    <row r="37" spans="1:2" ht="21.75" customHeight="1">
      <c r="A37" s="12" t="s">
        <v>423</v>
      </c>
      <c r="B37" s="9">
        <f>150993.75-10869.71</f>
        <v>140124.04</v>
      </c>
    </row>
    <row r="38" spans="1:2" ht="21.75" customHeight="1">
      <c r="A38" s="12" t="s">
        <v>424</v>
      </c>
      <c r="B38" s="9">
        <f>3941.78-4456.94</f>
        <v>-515.1599999999994</v>
      </c>
    </row>
    <row r="39" spans="1:2" ht="21.75" customHeight="1">
      <c r="A39" s="12" t="s">
        <v>425</v>
      </c>
      <c r="B39" s="17">
        <v>0</v>
      </c>
    </row>
    <row r="40" spans="1:2" ht="21.75" customHeight="1">
      <c r="A40" s="10" t="s">
        <v>426</v>
      </c>
      <c r="B40" s="11">
        <f>SUM(B41:B45)</f>
        <v>985599.97</v>
      </c>
    </row>
    <row r="41" spans="1:2" ht="21.75" customHeight="1">
      <c r="A41" s="12" t="s">
        <v>427</v>
      </c>
      <c r="B41" s="9">
        <f>61833.67-0.03+216997.13-142.99+27374.23</f>
        <v>306062.01</v>
      </c>
    </row>
    <row r="42" spans="1:2" ht="21.75" customHeight="1">
      <c r="A42" s="12" t="s">
        <v>428</v>
      </c>
      <c r="B42" s="9">
        <f>362074.38-294.59+239361.99-B43</f>
        <v>559232.06000000006</v>
      </c>
    </row>
    <row r="43" spans="1:2" ht="21.75" customHeight="1">
      <c r="A43" s="12" t="s">
        <v>429</v>
      </c>
      <c r="B43" s="9">
        <v>41909.72</v>
      </c>
    </row>
    <row r="44" spans="1:2" ht="21.75" customHeight="1">
      <c r="A44" s="12" t="s">
        <v>430</v>
      </c>
      <c r="B44" s="9">
        <v>20220.099999999999</v>
      </c>
    </row>
    <row r="45" spans="1:2" ht="21.75" customHeight="1">
      <c r="A45" s="12" t="s">
        <v>431</v>
      </c>
      <c r="B45" s="9">
        <v>58176.08</v>
      </c>
    </row>
    <row r="46" spans="1:2" ht="21.75" customHeight="1">
      <c r="A46" s="10" t="s">
        <v>432</v>
      </c>
      <c r="B46" s="11">
        <f>SUM(B47:B54)</f>
        <v>349760.27</v>
      </c>
    </row>
    <row r="47" spans="1:2" ht="21.75" customHeight="1">
      <c r="A47" s="12" t="s">
        <v>433</v>
      </c>
      <c r="B47" s="9">
        <f>40497.06+12922.23</f>
        <v>53419.289999999994</v>
      </c>
    </row>
    <row r="48" spans="1:2" ht="21.75" customHeight="1">
      <c r="A48" s="12" t="s">
        <v>434</v>
      </c>
      <c r="B48" s="9">
        <v>119209.5</v>
      </c>
    </row>
    <row r="49" spans="1:2" ht="21.75" customHeight="1">
      <c r="A49" s="12" t="s">
        <v>435</v>
      </c>
      <c r="B49" s="9">
        <f>29441.35-0.04</f>
        <v>29441.309999999998</v>
      </c>
    </row>
    <row r="50" spans="1:2" ht="21.75" customHeight="1">
      <c r="A50" s="12" t="s">
        <v>436</v>
      </c>
      <c r="B50" s="9">
        <v>32994.03</v>
      </c>
    </row>
    <row r="51" spans="1:2" ht="21.75" customHeight="1">
      <c r="A51" s="12" t="s">
        <v>437</v>
      </c>
      <c r="B51" s="9">
        <v>4562.29</v>
      </c>
    </row>
    <row r="52" spans="1:2" ht="21.75" customHeight="1">
      <c r="A52" s="12" t="s">
        <v>438</v>
      </c>
      <c r="B52" s="9">
        <v>45347.64</v>
      </c>
    </row>
    <row r="53" spans="1:2" ht="21.75" customHeight="1">
      <c r="A53" s="12" t="s">
        <v>439</v>
      </c>
      <c r="B53" s="9">
        <f>64855.12-68.91</f>
        <v>64786.21</v>
      </c>
    </row>
    <row r="54" spans="1:2" ht="21.75" customHeight="1">
      <c r="A54" s="12" t="s">
        <v>440</v>
      </c>
      <c r="B54" s="9">
        <v>0</v>
      </c>
    </row>
    <row r="55" spans="1:2" ht="21.75" customHeight="1">
      <c r="A55" s="10" t="s">
        <v>441</v>
      </c>
      <c r="B55" s="11">
        <f>SUM(B56:B58)</f>
        <v>1536.76</v>
      </c>
    </row>
    <row r="56" spans="1:2" ht="21.75" customHeight="1">
      <c r="A56" s="12" t="s">
        <v>442</v>
      </c>
      <c r="B56" s="9">
        <v>1227.67</v>
      </c>
    </row>
    <row r="57" spans="1:2" ht="21.75" customHeight="1">
      <c r="A57" s="12" t="s">
        <v>443</v>
      </c>
      <c r="B57" s="9">
        <v>309.08999999999997</v>
      </c>
    </row>
    <row r="58" spans="1:2" ht="21.75" customHeight="1">
      <c r="A58" s="12" t="s">
        <v>444</v>
      </c>
      <c r="B58" s="9">
        <v>0</v>
      </c>
    </row>
    <row r="59" spans="1:2" ht="21.75" customHeight="1">
      <c r="A59" s="10" t="s">
        <v>445</v>
      </c>
      <c r="B59" s="11">
        <f>SUM(B60:B64)</f>
        <v>328488.77</v>
      </c>
    </row>
    <row r="60" spans="1:2" ht="21.75" customHeight="1">
      <c r="A60" s="12" t="s">
        <v>446</v>
      </c>
      <c r="B60" s="9">
        <v>2550.5</v>
      </c>
    </row>
    <row r="61" spans="1:2" ht="21.75" customHeight="1">
      <c r="A61" s="12" t="s">
        <v>447</v>
      </c>
      <c r="B61" s="9">
        <v>9095.4699999999993</v>
      </c>
    </row>
    <row r="62" spans="1:2" ht="21.75" customHeight="1">
      <c r="A62" s="12" t="s">
        <v>448</v>
      </c>
      <c r="B62" s="9">
        <v>63358.239999999998</v>
      </c>
    </row>
    <row r="63" spans="1:2" ht="21.75" customHeight="1">
      <c r="A63" s="12" t="s">
        <v>449</v>
      </c>
      <c r="B63" s="9">
        <f>7753.1+5698.09</f>
        <v>13451.19</v>
      </c>
    </row>
    <row r="64" spans="1:2" ht="21.75" customHeight="1">
      <c r="A64" s="12" t="s">
        <v>450</v>
      </c>
      <c r="B64" s="9">
        <f>106233.5+125429.53-1.57+775.32-751.49+1709.71+648+3500+790.37+1700</f>
        <v>240033.37</v>
      </c>
    </row>
    <row r="65" spans="1:2" ht="21.75" customHeight="1">
      <c r="A65" s="10" t="s">
        <v>451</v>
      </c>
      <c r="B65" s="11">
        <f>B66+B71+B75</f>
        <v>2430053.23</v>
      </c>
    </row>
    <row r="66" spans="1:2" ht="21.75" customHeight="1">
      <c r="A66" s="10" t="s">
        <v>452</v>
      </c>
      <c r="B66" s="11">
        <f>SUM(B67:B70)</f>
        <v>2116000.52</v>
      </c>
    </row>
    <row r="67" spans="1:2" ht="21.75" customHeight="1">
      <c r="A67" s="12" t="s">
        <v>453</v>
      </c>
      <c r="B67" s="9">
        <f>1855290.31+13410.02+247300.19</f>
        <v>2116000.52</v>
      </c>
    </row>
    <row r="68" spans="1:2" ht="21.75" customHeight="1">
      <c r="A68" s="12" t="s">
        <v>454</v>
      </c>
      <c r="B68" s="9">
        <v>0</v>
      </c>
    </row>
    <row r="69" spans="1:2" ht="21.75" customHeight="1">
      <c r="A69" s="12" t="s">
        <v>455</v>
      </c>
      <c r="B69" s="9">
        <v>0</v>
      </c>
    </row>
    <row r="70" spans="1:2" ht="21.75" customHeight="1">
      <c r="A70" s="12" t="s">
        <v>456</v>
      </c>
      <c r="B70" s="9">
        <v>0</v>
      </c>
    </row>
    <row r="71" spans="1:2" ht="21.75" customHeight="1">
      <c r="A71" s="10" t="s">
        <v>457</v>
      </c>
      <c r="B71" s="11">
        <f>SUM(B72:B74)</f>
        <v>220446.16999999998</v>
      </c>
    </row>
    <row r="72" spans="1:2" ht="21.75" customHeight="1">
      <c r="A72" s="12" t="s">
        <v>458</v>
      </c>
      <c r="B72" s="9">
        <f>139460.08+25302.93+55683.16</f>
        <v>220446.16999999998</v>
      </c>
    </row>
    <row r="73" spans="1:2" ht="21.75" customHeight="1">
      <c r="A73" s="12" t="s">
        <v>459</v>
      </c>
      <c r="B73" s="9">
        <v>0</v>
      </c>
    </row>
    <row r="74" spans="1:2" ht="21.75" customHeight="1">
      <c r="A74" s="12" t="s">
        <v>460</v>
      </c>
      <c r="B74" s="9">
        <v>0</v>
      </c>
    </row>
    <row r="75" spans="1:2" ht="21.75" customHeight="1">
      <c r="A75" s="10" t="s">
        <v>461</v>
      </c>
      <c r="B75" s="11">
        <f>SUM(B76:B77)</f>
        <v>93606.54</v>
      </c>
    </row>
    <row r="76" spans="1:2" ht="21.75" customHeight="1">
      <c r="A76" s="12" t="s">
        <v>462</v>
      </c>
      <c r="B76" s="9">
        <v>93606.54</v>
      </c>
    </row>
    <row r="77" spans="1:2" ht="21.75" customHeight="1">
      <c r="A77" s="12" t="s">
        <v>463</v>
      </c>
      <c r="B77" s="9">
        <v>0</v>
      </c>
    </row>
    <row r="78" spans="1:2" ht="21.75" customHeight="1">
      <c r="A78" s="13" t="s">
        <v>464</v>
      </c>
      <c r="B78" s="14">
        <f>B28+B40+B46+B55+B59+B65</f>
        <v>6374431.8399999999</v>
      </c>
    </row>
    <row r="79" spans="1:2" ht="21.75" customHeight="1">
      <c r="A79" s="6" t="s">
        <v>465</v>
      </c>
      <c r="B79" s="18">
        <f>B24-B78</f>
        <v>-302989.5700000003</v>
      </c>
    </row>
    <row r="80" spans="1:2" ht="21.75" customHeight="1">
      <c r="A80" s="15"/>
      <c r="B80" s="16"/>
    </row>
    <row r="81" spans="1:2" ht="21.75" customHeight="1">
      <c r="A81" s="19" t="s">
        <v>466</v>
      </c>
      <c r="B81" s="20">
        <f>SUM(B82:B85)</f>
        <v>0</v>
      </c>
    </row>
    <row r="82" spans="1:2" ht="21.75" customHeight="1">
      <c r="A82" s="21" t="s">
        <v>467</v>
      </c>
      <c r="B82" s="9">
        <v>0</v>
      </c>
    </row>
    <row r="83" spans="1:2" ht="21.75" customHeight="1">
      <c r="A83" s="21" t="s">
        <v>468</v>
      </c>
      <c r="B83" s="9">
        <v>0</v>
      </c>
    </row>
    <row r="84" spans="1:2" ht="21.75" customHeight="1">
      <c r="A84" s="21" t="s">
        <v>469</v>
      </c>
      <c r="B84" s="9">
        <v>0</v>
      </c>
    </row>
    <row r="85" spans="1:2" ht="21.75" customHeight="1">
      <c r="A85" s="21" t="s">
        <v>470</v>
      </c>
      <c r="B85" s="9">
        <v>0</v>
      </c>
    </row>
    <row r="86" spans="1:2" ht="21.75" customHeight="1">
      <c r="A86" s="15"/>
      <c r="B86" s="16"/>
    </row>
    <row r="87" spans="1:2" ht="21.75" customHeight="1">
      <c r="B87" s="22"/>
    </row>
    <row r="88" spans="1:2" ht="21.75" customHeight="1">
      <c r="A88" s="23" t="s">
        <v>471</v>
      </c>
      <c r="B88" s="24"/>
    </row>
    <row r="89" spans="1:2" ht="21.75" customHeight="1">
      <c r="A89" s="25" t="s">
        <v>396</v>
      </c>
      <c r="B89" s="26">
        <f>A7</f>
        <v>45931</v>
      </c>
    </row>
    <row r="90" spans="1:2" ht="21.75" customHeight="1">
      <c r="A90" s="27" t="s">
        <v>472</v>
      </c>
      <c r="B90" s="28">
        <v>0</v>
      </c>
    </row>
    <row r="91" spans="1:2" ht="21.75" customHeight="1">
      <c r="A91" s="21" t="s">
        <v>473</v>
      </c>
      <c r="B91" s="9">
        <v>0</v>
      </c>
    </row>
    <row r="92" spans="1:2" ht="21.75" customHeight="1">
      <c r="A92" s="21" t="s">
        <v>474</v>
      </c>
      <c r="B92" s="9">
        <v>0</v>
      </c>
    </row>
    <row r="93" spans="1:2" ht="21.75" customHeight="1">
      <c r="A93" s="29" t="s">
        <v>475</v>
      </c>
      <c r="B93" s="18">
        <f>B90-B91+B92</f>
        <v>0</v>
      </c>
    </row>
    <row r="94" spans="1:2" ht="21.75" customHeight="1">
      <c r="A94" s="30"/>
      <c r="B94" s="22"/>
    </row>
    <row r="95" spans="1:2" ht="21.75" customHeight="1">
      <c r="A95" s="23" t="s">
        <v>476</v>
      </c>
      <c r="B95" s="24"/>
    </row>
    <row r="96" spans="1:2" ht="21.75" customHeight="1">
      <c r="A96" s="25" t="s">
        <v>396</v>
      </c>
      <c r="B96" s="26">
        <f>B9</f>
        <v>45931</v>
      </c>
    </row>
    <row r="97" spans="1:2" ht="21.75" customHeight="1">
      <c r="A97" s="27" t="s">
        <v>472</v>
      </c>
      <c r="B97" s="31">
        <v>0</v>
      </c>
    </row>
    <row r="98" spans="1:2" ht="21.75" customHeight="1">
      <c r="A98" s="21" t="s">
        <v>473</v>
      </c>
      <c r="B98" s="9">
        <v>11397226.58</v>
      </c>
    </row>
    <row r="99" spans="1:2" ht="21.75" customHeight="1">
      <c r="A99" s="21" t="s">
        <v>474</v>
      </c>
      <c r="B99" s="9">
        <v>11397226.58</v>
      </c>
    </row>
    <row r="100" spans="1:2" ht="21.75" customHeight="1">
      <c r="A100" s="21" t="s">
        <v>477</v>
      </c>
      <c r="B100" s="9">
        <v>0</v>
      </c>
    </row>
    <row r="101" spans="1:2" ht="21.75" customHeight="1">
      <c r="A101" s="21" t="s">
        <v>478</v>
      </c>
      <c r="B101" s="9">
        <v>0</v>
      </c>
    </row>
    <row r="102" spans="1:2" ht="21.75" customHeight="1">
      <c r="A102" s="32" t="s">
        <v>479</v>
      </c>
      <c r="B102" s="18">
        <f>B97-B98+B99-B100+B101</f>
        <v>0</v>
      </c>
    </row>
    <row r="103" spans="1:2" ht="21.75" customHeight="1">
      <c r="A103" s="30"/>
      <c r="B103" s="22"/>
    </row>
    <row r="104" spans="1:2" ht="21.75" customHeight="1">
      <c r="A104" s="23" t="s">
        <v>480</v>
      </c>
      <c r="B104" s="24"/>
    </row>
    <row r="105" spans="1:2" ht="21.75" customHeight="1">
      <c r="A105" s="25" t="s">
        <v>396</v>
      </c>
      <c r="B105" s="26">
        <f>A7</f>
        <v>45931</v>
      </c>
    </row>
    <row r="106" spans="1:2" ht="21.75" customHeight="1">
      <c r="A106" s="27" t="s">
        <v>472</v>
      </c>
      <c r="B106" s="31">
        <v>21279819.41</v>
      </c>
    </row>
    <row r="107" spans="1:2" ht="21.75" customHeight="1">
      <c r="A107" s="21" t="s">
        <v>473</v>
      </c>
      <c r="B107" s="9">
        <f>5729947.66+24272</f>
        <v>5754219.6600000001</v>
      </c>
    </row>
    <row r="108" spans="1:2" ht="21.75" customHeight="1">
      <c r="A108" s="21" t="s">
        <v>474</v>
      </c>
      <c r="B108" s="9">
        <f>5877572.48+205116.77-B109</f>
        <v>5879587.3099999996</v>
      </c>
    </row>
    <row r="109" spans="1:2" ht="21.75" customHeight="1">
      <c r="A109" s="21" t="s">
        <v>481</v>
      </c>
      <c r="B109" s="9">
        <v>203101.94</v>
      </c>
    </row>
    <row r="110" spans="1:2" ht="21.75" customHeight="1">
      <c r="A110" s="32" t="s">
        <v>482</v>
      </c>
      <c r="B110" s="18">
        <f>B106-B107+B108+B109</f>
        <v>21608289</v>
      </c>
    </row>
    <row r="111" spans="1:2" ht="21.75" customHeight="1">
      <c r="A111" s="30"/>
      <c r="B111" s="22"/>
    </row>
    <row r="112" spans="1:2" ht="21.75" customHeight="1">
      <c r="A112" s="29" t="s">
        <v>483</v>
      </c>
      <c r="B112" s="33">
        <f>B110+B102+B93</f>
        <v>21608289</v>
      </c>
    </row>
    <row r="113" spans="1:2" ht="21.75" customHeight="1">
      <c r="A113" s="30"/>
      <c r="B113" s="22"/>
    </row>
    <row r="114" spans="1:2" ht="21.75" customHeight="1">
      <c r="A114" s="23" t="s">
        <v>484</v>
      </c>
      <c r="B114" s="24"/>
    </row>
    <row r="115" spans="1:2" ht="21.75" customHeight="1">
      <c r="A115" s="25" t="s">
        <v>396</v>
      </c>
      <c r="B115" s="26">
        <f>B9</f>
        <v>45931</v>
      </c>
    </row>
    <row r="116" spans="1:2" ht="21.75" customHeight="1">
      <c r="A116" s="34" t="s">
        <v>485</v>
      </c>
      <c r="B116" s="9">
        <v>0</v>
      </c>
    </row>
    <row r="117" spans="1:2" ht="21.75" customHeight="1">
      <c r="A117" s="34" t="s">
        <v>486</v>
      </c>
      <c r="B117" s="9">
        <v>0</v>
      </c>
    </row>
    <row r="118" spans="1:2" ht="21.75" customHeight="1">
      <c r="A118" s="34" t="s">
        <v>487</v>
      </c>
      <c r="B118" s="9">
        <f>3425403.32+1507155.32+833242.55+230378.57</f>
        <v>5996179.7599999998</v>
      </c>
    </row>
    <row r="119" spans="1:2" ht="32.25" customHeight="1">
      <c r="A119" s="34" t="s">
        <v>488</v>
      </c>
      <c r="B119" s="9">
        <v>0</v>
      </c>
    </row>
    <row r="120" spans="1:2" ht="21.75" customHeight="1">
      <c r="A120" s="29" t="s">
        <v>39</v>
      </c>
      <c r="B120" s="18">
        <f>SUM(B116:B119)</f>
        <v>5996179.7599999998</v>
      </c>
    </row>
    <row r="121" spans="1:2" ht="21.75" customHeight="1">
      <c r="A121" s="30"/>
      <c r="B121" s="22"/>
    </row>
    <row r="122" spans="1:2" ht="21.75" customHeight="1">
      <c r="A122" s="23" t="s">
        <v>489</v>
      </c>
      <c r="B122" s="24"/>
    </row>
    <row r="123" spans="1:2" ht="21.75" customHeight="1">
      <c r="A123" s="25" t="s">
        <v>396</v>
      </c>
      <c r="B123" s="35">
        <f>B9</f>
        <v>45931</v>
      </c>
    </row>
    <row r="124" spans="1:2" ht="21.75" customHeight="1">
      <c r="A124" s="27" t="s">
        <v>472</v>
      </c>
      <c r="B124" s="31">
        <v>10569611.93</v>
      </c>
    </row>
    <row r="125" spans="1:2" ht="21.75" customHeight="1">
      <c r="A125" s="27" t="s">
        <v>490</v>
      </c>
      <c r="B125" s="31">
        <f>SUM(B36:B38)</f>
        <v>353705.97000000003</v>
      </c>
    </row>
    <row r="126" spans="1:2" ht="21.75" customHeight="1">
      <c r="A126" s="21" t="s">
        <v>491</v>
      </c>
      <c r="B126" s="9">
        <f>-167295.57+214097.09</f>
        <v>46801.51999999999</v>
      </c>
    </row>
    <row r="127" spans="1:2" ht="21.75" customHeight="1">
      <c r="A127" s="21" t="s">
        <v>492</v>
      </c>
      <c r="B127" s="9">
        <f>-16884.93+150977.73</f>
        <v>134092.80000000002</v>
      </c>
    </row>
    <row r="128" spans="1:2" ht="21.75" customHeight="1">
      <c r="A128" s="21" t="s">
        <v>493</v>
      </c>
      <c r="B128" s="9">
        <f>30238.89-17019.53</f>
        <v>13219.36</v>
      </c>
    </row>
    <row r="129" spans="1:2" ht="21.75" customHeight="1">
      <c r="A129" s="29" t="s">
        <v>494</v>
      </c>
      <c r="B129" s="18">
        <f>B124+B125-B126-B127-B128</f>
        <v>10729204.220000001</v>
      </c>
    </row>
  </sheetData>
  <mergeCells count="5">
    <mergeCell ref="A1:B1"/>
    <mergeCell ref="A3:B3"/>
    <mergeCell ref="A4:B4"/>
    <mergeCell ref="A6:B6"/>
    <mergeCell ref="A7:B7"/>
  </mergeCells>
  <conditionalFormatting sqref="B79">
    <cfRule type="cellIs" dxfId="1" priority="1" stopIfTrue="1" operator="lessThan">
      <formula>0</formula>
    </cfRule>
    <cfRule type="cellIs" dxfId="0" priority="2" stopIfTrue="1" operator="greaterThan">
      <formula>0</formula>
    </cfRule>
  </conditionalFormatting>
  <pageMargins left="0.405092592592593" right="0.358796296296296" top="0.99398148148148102" bottom="0.34722222222222199" header="0.31496062992126" footer="0.31496062992126"/>
  <pageSetup scale="58" orientation="landscape" r:id="rId1"/>
  <rowBreaks count="2" manualBreakCount="2">
    <brk id="80" max="16383" man="1"/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8</vt:i4>
      </vt:variant>
    </vt:vector>
  </HeadingPairs>
  <TitlesOfParts>
    <vt:vector size="21" baseType="lpstr">
      <vt:lpstr>Capa</vt:lpstr>
      <vt:lpstr>Leitos</vt:lpstr>
      <vt:lpstr>Urgência Emergência</vt:lpstr>
      <vt:lpstr>Assistencial</vt:lpstr>
      <vt:lpstr>Ambulatorio</vt:lpstr>
      <vt:lpstr>SADT</vt:lpstr>
      <vt:lpstr>Atividade Cirúrgica</vt:lpstr>
      <vt:lpstr>Qualidade</vt:lpstr>
      <vt:lpstr>Qualidade PSU</vt:lpstr>
      <vt:lpstr>Recursos Humanos</vt:lpstr>
      <vt:lpstr>Fármacia</vt:lpstr>
      <vt:lpstr>Materiais</vt:lpstr>
      <vt:lpstr>Financeiro</vt:lpstr>
      <vt:lpstr>Ambulatorio!Area_de_impressao</vt:lpstr>
      <vt:lpstr>Assistencial!Area_de_impressao</vt:lpstr>
      <vt:lpstr>'Atividade Cirúrgica'!Area_de_impressao</vt:lpstr>
      <vt:lpstr>Leitos!Area_de_impressao</vt:lpstr>
      <vt:lpstr>Materiais!Area_de_impressao</vt:lpstr>
      <vt:lpstr>Qualidade!Area_de_impressao</vt:lpstr>
      <vt:lpstr>SADT!Area_de_impressao</vt:lpstr>
      <vt:lpstr>'Urgência Emergência'!Area_de_impressao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WTaborda</dc:creator>
  <cp:lastModifiedBy>HRTGB26- KEITI</cp:lastModifiedBy>
  <cp:lastPrinted>2023-01-31T18:37:00Z</cp:lastPrinted>
  <dcterms:created xsi:type="dcterms:W3CDTF">2011-05-06T11:59:00Z</dcterms:created>
  <dcterms:modified xsi:type="dcterms:W3CDTF">2026-01-05T14:18:08Z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C7B7FDE302FF4155BCF6A6380F538C4B</vt:lpwstr>
  </property>
  <property fmtid="{D5CDD505-2E9C-101B-9397-08002B2CF9AE}" pid="3" name="KSOProductBuildVer">
    <vt:lpwstr>1046-12.2.0.16731</vt:lpwstr>
  </property>
</Properties>
</file>