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8. METAS HRTGB\ESTATÍSTICA DO ESTADO\Estatísticas do Estado 2026\"/>
    </mc:Choice>
  </mc:AlternateContent>
  <xr:revisionPtr revIDLastSave="0" documentId="13_ncr:1_{4902EC98-1659-4F65-BC34-C2C770A6640E}" xr6:coauthVersionLast="47" xr6:coauthVersionMax="47" xr10:uidLastSave="{00000000-0000-0000-0000-000000000000}"/>
  <bookViews>
    <workbookView xWindow="-120" yWindow="-120" windowWidth="29040" windowHeight="17640" tabRatio="942" activeTab="9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Cirúrgica'!$A$1:$D$179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B9" i="15" l="1"/>
  <c r="B29" i="15"/>
  <c r="C22" i="17" l="1"/>
  <c r="B33" i="8"/>
  <c r="B67" i="5" l="1"/>
  <c r="D29" i="18"/>
  <c r="B128" i="5"/>
  <c r="B127" i="5"/>
  <c r="B126" i="5"/>
  <c r="B118" i="5"/>
  <c r="B21" i="5"/>
  <c r="B37" i="5"/>
  <c r="B36" i="5"/>
  <c r="B125" i="5" s="1"/>
  <c r="B33" i="5"/>
  <c r="B30" i="5"/>
  <c r="B19" i="15"/>
  <c r="D12" i="18" l="1"/>
  <c r="D30" i="18"/>
  <c r="C36" i="18"/>
  <c r="D25" i="18"/>
  <c r="D24" i="18"/>
  <c r="D23" i="18"/>
  <c r="D22" i="18"/>
  <c r="B22" i="18"/>
  <c r="D20" i="18"/>
  <c r="D11" i="18"/>
  <c r="D10" i="18"/>
  <c r="B4" i="18"/>
  <c r="B4" i="21" s="1"/>
  <c r="H12" i="20"/>
  <c r="B13" i="20"/>
  <c r="B11" i="20"/>
  <c r="B10" i="20"/>
  <c r="B9" i="20"/>
  <c r="B8" i="20"/>
  <c r="C15" i="20"/>
  <c r="B4" i="19"/>
  <c r="B4" i="14" l="1"/>
  <c r="C142" i="17"/>
  <c r="C172" i="17"/>
  <c r="B107" i="5"/>
  <c r="B108" i="5"/>
  <c r="A7" i="5"/>
  <c r="B9" i="5" s="1"/>
  <c r="B96" i="5" s="1"/>
  <c r="B83" i="5"/>
  <c r="B72" i="5"/>
  <c r="B64" i="5"/>
  <c r="B63" i="5"/>
  <c r="B49" i="5"/>
  <c r="B48" i="5"/>
  <c r="B47" i="5"/>
  <c r="B42" i="5"/>
  <c r="B41" i="5"/>
  <c r="H19" i="16"/>
  <c r="H18" i="16"/>
  <c r="H17" i="16"/>
  <c r="H16" i="16"/>
  <c r="H20" i="16" l="1"/>
  <c r="B129" i="5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B105" i="5"/>
  <c r="A4" i="5"/>
  <c r="B3" i="14"/>
  <c r="B4" i="7"/>
  <c r="B3" i="7"/>
  <c r="G73" i="15"/>
  <c r="F73" i="15"/>
  <c r="E73" i="15"/>
  <c r="L26" i="15"/>
  <c r="K26" i="15"/>
  <c r="J26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I28" i="8" s="1"/>
  <c r="F32" i="8"/>
  <c r="E32" i="8"/>
  <c r="B28" i="8" s="1"/>
  <c r="G30" i="8"/>
  <c r="G29" i="8"/>
  <c r="G28" i="8"/>
  <c r="G27" i="8"/>
  <c r="G26" i="8"/>
  <c r="D20" i="8"/>
  <c r="C20" i="8"/>
  <c r="B20" i="8"/>
  <c r="B4" i="8"/>
  <c r="B4" i="16" s="1"/>
  <c r="B4" i="15" s="1"/>
  <c r="B3" i="8"/>
  <c r="C178" i="17"/>
  <c r="C9" i="17"/>
  <c r="C8" i="17"/>
  <c r="C16" i="17"/>
  <c r="D56" i="21"/>
  <c r="D43" i="21"/>
  <c r="E30" i="21"/>
  <c r="D30" i="21"/>
  <c r="C30" i="21"/>
  <c r="A30" i="21"/>
  <c r="F29" i="21"/>
  <c r="A29" i="21"/>
  <c r="F28" i="21"/>
  <c r="A28" i="21"/>
  <c r="F27" i="21"/>
  <c r="A27" i="21"/>
  <c r="F26" i="21"/>
  <c r="A26" i="21"/>
  <c r="F25" i="21"/>
  <c r="A25" i="21"/>
  <c r="F24" i="21"/>
  <c r="A24" i="21"/>
  <c r="F23" i="21"/>
  <c r="A23" i="21"/>
  <c r="F22" i="21"/>
  <c r="A22" i="21"/>
  <c r="C16" i="21"/>
  <c r="B16" i="21"/>
  <c r="D15" i="21"/>
  <c r="D14" i="21"/>
  <c r="D13" i="21"/>
  <c r="D12" i="21"/>
  <c r="D11" i="21"/>
  <c r="D10" i="21"/>
  <c r="D9" i="21"/>
  <c r="D8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E15" i="20"/>
  <c r="D15" i="20"/>
  <c r="B15" i="20"/>
  <c r="B37" i="20"/>
  <c r="F13" i="20"/>
  <c r="E36" i="20" s="1"/>
  <c r="F12" i="20"/>
  <c r="B35" i="20" s="1"/>
  <c r="F11" i="20"/>
  <c r="E34" i="20" s="1"/>
  <c r="F10" i="20"/>
  <c r="B33" i="20" s="1"/>
  <c r="F9" i="20"/>
  <c r="E32" i="20" s="1"/>
  <c r="F8" i="20"/>
  <c r="B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B8" i="15" l="1"/>
  <c r="D38" i="20"/>
  <c r="D37" i="18"/>
  <c r="B27" i="20"/>
  <c r="F38" i="20"/>
  <c r="C43" i="22"/>
  <c r="B15" i="15"/>
  <c r="G32" i="8"/>
  <c r="C10" i="17"/>
  <c r="D16" i="17" s="1"/>
  <c r="B112" i="5"/>
  <c r="B65" i="5"/>
  <c r="B78" i="5" s="1"/>
  <c r="B24" i="5"/>
  <c r="B32" i="20"/>
  <c r="B34" i="20"/>
  <c r="B36" i="20"/>
  <c r="D45" i="18"/>
  <c r="C21" i="17"/>
  <c r="B89" i="5"/>
  <c r="I29" i="8"/>
  <c r="F15" i="20"/>
  <c r="B29" i="8" s="1"/>
  <c r="B37" i="8" s="1"/>
  <c r="E31" i="20"/>
  <c r="E33" i="20"/>
  <c r="E35" i="20"/>
  <c r="E37" i="20"/>
  <c r="I30" i="8"/>
  <c r="I27" i="8"/>
  <c r="I26" i="8"/>
  <c r="E68" i="18"/>
  <c r="F30" i="21"/>
  <c r="D16" i="21"/>
  <c r="B20" i="16"/>
  <c r="G20" i="16"/>
  <c r="I20" i="16" s="1"/>
  <c r="I16" i="16"/>
  <c r="I17" i="16"/>
  <c r="I18" i="16"/>
  <c r="I19" i="16"/>
  <c r="J16" i="16"/>
  <c r="J20" i="16" l="1"/>
  <c r="E38" i="20"/>
  <c r="I32" i="8"/>
  <c r="B79" i="5"/>
  <c r="B115" i="5"/>
  <c r="B26" i="5"/>
  <c r="B123" i="5"/>
  <c r="C8" i="8"/>
  <c r="D12" i="8"/>
  <c r="B38" i="20"/>
  <c r="C34" i="20" s="1"/>
  <c r="C38" i="20" l="1"/>
  <c r="C37" i="20"/>
  <c r="C31" i="20"/>
  <c r="C35" i="20"/>
  <c r="C33" i="20"/>
  <c r="C32" i="20"/>
  <c r="C36" i="20"/>
  <c r="D31" i="18"/>
  <c r="E11" i="18"/>
  <c r="E31" i="1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</rPr>
          <t>GAEMC:</t>
        </r>
        <r>
          <rPr>
            <sz val="9"/>
            <rFont val="Arial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</rPr>
          <t>GAEMC</t>
        </r>
        <r>
          <rPr>
            <sz val="9"/>
            <rFont val="Arial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<sst xmlns="http://schemas.openxmlformats.org/spreadsheetml/2006/main" count="1154" uniqueCount="914">
  <si>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</si>
  <si>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</si>
  <si>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</si>
  <si>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</si>
  <si>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</si>
  <si>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</si>
  <si>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</si>
  <si>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</si>
  <si>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</si>
  <si>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</si>
  <si>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</si>
  <si>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</si>
  <si>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</si>
  <si>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</si>
  <si>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</si>
  <si>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</si>
  <si>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</si>
  <si>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</si>
  <si>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</si>
  <si>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</si>
  <si>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</si>
  <si>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</si>
  <si>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</si>
  <si>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</si>
  <si>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</si>
  <si>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</si>
  <si>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</si>
  <si>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</si>
  <si>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</si>
  <si>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</si>
  <si>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</si>
  <si>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</si>
  <si>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</si>
  <si>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</si>
  <si>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</si>
  <si>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</si>
  <si>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</si>
  <si>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</si>
  <si>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</si>
  <si>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</si>
  <si>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</si>
  <si>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</si>
  <si>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</si>
  <si>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</si>
  <si>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</si>
  <si>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</si>
  <si>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</si>
  <si>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</si>
  <si>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</si>
  <si>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</si>
  <si>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</si>
  <si>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</si>
  <si>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</si>
  <si>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</si>
  <si>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</si>
  <si>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</si>
  <si>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</si>
  <si>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</si>
  <si>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</si>
  <si>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</si>
  <si>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</si>
  <si>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</si>
  <si>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</si>
  <si>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</si>
  <si>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</si>
  <si>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</si>
  <si>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</si>
  <si>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</si>
  <si>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</si>
  <si>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</si>
  <si>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</si>
  <si>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</si>
  <si>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</si>
  <si>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</si>
  <si>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</si>
  <si>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</si>
  <si>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</si>
  <si>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</si>
  <si>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</si>
  <si>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</si>
  <si>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</si>
  <si>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</si>
  <si>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charset val="134"/>
      </rPr>
      <t>Regulação**</t>
    </r>
    <r>
      <rPr>
        <sz val="11"/>
        <rFont val="Calibri"/>
        <charset val="134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</si>
  <si>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</si>
  <si>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</si>
  <si>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</si>
  <si>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</si>
  <si>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</si>
  <si>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</si>
  <si>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</si>
  <si>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</si>
  <si>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</si>
  <si>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</si>
  <si>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</si>
  <si>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</si>
  <si>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</si>
  <si>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</si>
  <si>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</si>
  <si>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</si>
  <si>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</si>
  <si>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</si>
  <si>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</si>
  <si>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</si>
  <si>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</si>
  <si>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</si>
  <si>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</si>
  <si>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</si>
  <si>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</si>
  <si>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</si>
  <si>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</si>
  <si>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</si>
  <si>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</si>
  <si>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</si>
  <si>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</si>
  <si>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</si>
  <si>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</si>
  <si>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</si>
  <si>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</si>
  <si>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</si>
  <si>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charset val="134"/>
      </rPr>
      <t xml:space="preserve">Nº de Consultas </t>
    </r>
    <r>
      <rPr>
        <b/>
        <sz val="11"/>
        <rFont val="Calibri"/>
        <charset val="134"/>
      </rPr>
      <t>disponibilizadas</t>
    </r>
    <r>
      <rPr>
        <sz val="11"/>
        <rFont val="Calibri"/>
        <charset val="134"/>
      </rPr>
      <t xml:space="preserve"> para Regulação</t>
    </r>
  </si>
  <si>
    <r>
      <rPr>
        <sz val="11"/>
        <rFont val="Calibri"/>
        <charset val="134"/>
      </rPr>
      <t xml:space="preserve">Nº de Consultas </t>
    </r>
    <r>
      <rPr>
        <b/>
        <sz val="11"/>
        <rFont val="Calibri"/>
        <charset val="134"/>
      </rPr>
      <t>agendadas</t>
    </r>
    <r>
      <rPr>
        <sz val="11"/>
        <rFont val="Calibri"/>
        <charset val="134"/>
      </rPr>
      <t xml:space="preserve"> com os pacientes oriundos da Regulação</t>
    </r>
  </si>
  <si>
    <r>
      <rPr>
        <sz val="11"/>
        <color rgb="FF000000"/>
        <rFont val="Calibri"/>
        <charset val="134"/>
      </rPr>
      <t xml:space="preserve">Nº de Consultas </t>
    </r>
    <r>
      <rPr>
        <b/>
        <sz val="11"/>
        <color rgb="FF000000"/>
        <rFont val="Calibri"/>
        <charset val="134"/>
      </rPr>
      <t>Realizadas</t>
    </r>
    <r>
      <rPr>
        <sz val="11"/>
        <color rgb="FF000000"/>
        <rFont val="Calibri"/>
        <charset val="134"/>
      </rPr>
      <t xml:space="preserve"> com os pacientes oriundos da </t>
    </r>
    <r>
      <rPr>
        <b/>
        <sz val="11"/>
        <color rgb="FF000000"/>
        <rFont val="Calibri"/>
        <charset val="134"/>
      </rPr>
      <t>Regulação**</t>
    </r>
  </si>
  <si>
    <r>
      <rPr>
        <sz val="11"/>
        <color rgb="FF000000"/>
        <rFont val="Calibri"/>
        <charset val="134"/>
      </rPr>
      <t xml:space="preserve">Nº de Pacientes </t>
    </r>
    <r>
      <rPr>
        <b/>
        <sz val="11"/>
        <color rgb="FF000000"/>
        <rFont val="Calibri"/>
        <charset val="134"/>
      </rPr>
      <t>Faltantes</t>
    </r>
    <r>
      <rPr>
        <sz val="11"/>
        <color rgb="FF000000"/>
        <rFont val="Calibri"/>
        <charset val="134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</si>
  <si>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</si>
  <si>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</si>
  <si>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</si>
  <si>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</si>
  <si>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</si>
  <si>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charset val="134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</si>
  <si>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</si>
  <si>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</si>
  <si>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</si>
  <si>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</si>
  <si>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</si>
  <si>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</si>
  <si>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</si>
  <si>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</si>
  <si>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</si>
  <si>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</si>
  <si>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charset val="134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charset val="134"/>
      </rPr>
      <t>o dia em que o paciente realizou o exame no Hospital</t>
    </r>
    <r>
      <rPr>
        <sz val="11"/>
        <rFont val="Calibri"/>
        <charset val="134"/>
      </rPr>
      <t>. Esta meta será acompanhada através do Sistema de Informações Ambulatoriais.</t>
    </r>
  </si>
  <si>
    <t>2. SADT Externo - Regulação</t>
  </si>
  <si>
    <r>
      <rPr>
        <sz val="11"/>
        <rFont val="Calibri"/>
        <charset val="134"/>
      </rPr>
      <t xml:space="preserve">Nº de exames </t>
    </r>
    <r>
      <rPr>
        <u/>
        <sz val="11"/>
        <rFont val="Calibri"/>
        <charset val="134"/>
      </rPr>
      <t>disponibilizadas</t>
    </r>
    <r>
      <rPr>
        <sz val="11"/>
        <rFont val="Calibri"/>
        <charset val="134"/>
      </rPr>
      <t xml:space="preserve"> para Regulação</t>
    </r>
  </si>
  <si>
    <r>
      <rPr>
        <sz val="11"/>
        <rFont val="Calibri"/>
        <charset val="134"/>
      </rPr>
      <t xml:space="preserve">Nº de exames </t>
    </r>
    <r>
      <rPr>
        <u/>
        <sz val="11"/>
        <rFont val="Calibri"/>
        <charset val="134"/>
      </rPr>
      <t>agendadas</t>
    </r>
    <r>
      <rPr>
        <sz val="11"/>
        <rFont val="Calibri"/>
        <charset val="134"/>
      </rPr>
      <t xml:space="preserve"> com os pacientes oriundos da Regulação</t>
    </r>
  </si>
  <si>
    <r>
      <rPr>
        <sz val="11"/>
        <rFont val="Calibri"/>
        <charset val="134"/>
      </rPr>
      <t xml:space="preserve">Nº de exames </t>
    </r>
    <r>
      <rPr>
        <u/>
        <sz val="11"/>
        <rFont val="Calibri"/>
        <charset val="134"/>
      </rPr>
      <t>Realizadas</t>
    </r>
    <r>
      <rPr>
        <sz val="11"/>
        <rFont val="Calibri"/>
        <charset val="134"/>
      </rPr>
      <t xml:space="preserve"> com pacientes oriundos da </t>
    </r>
    <r>
      <rPr>
        <b/>
        <sz val="11"/>
        <rFont val="Calibri"/>
        <charset val="134"/>
      </rPr>
      <t>Regulação**</t>
    </r>
  </si>
  <si>
    <r>
      <rPr>
        <sz val="11"/>
        <rFont val="Calibri"/>
        <charset val="134"/>
      </rPr>
      <t xml:space="preserve">Nº de Pacientes </t>
    </r>
    <r>
      <rPr>
        <u/>
        <sz val="11"/>
        <rFont val="Calibri"/>
        <charset val="134"/>
      </rPr>
      <t>Faltantes</t>
    </r>
    <r>
      <rPr>
        <sz val="11"/>
        <rFont val="Calibri"/>
        <charset val="134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</si>
  <si>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</si>
  <si>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</si>
  <si>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</si>
  <si>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</si>
  <si>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</si>
  <si>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</si>
  <si>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</si>
  <si>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</si>
  <si>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</si>
  <si>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</si>
  <si>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</si>
  <si>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</si>
  <si>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</si>
  <si>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</si>
  <si>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</si>
  <si>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</si>
  <si>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</si>
  <si>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</si>
  <si>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</si>
  <si>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</si>
  <si>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</si>
  <si>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</si>
  <si>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</si>
  <si>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</si>
  <si>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</si>
  <si>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</si>
  <si>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</si>
  <si>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</si>
  <si>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</si>
  <si>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</si>
  <si>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</si>
  <si>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</si>
  <si>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</si>
  <si>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</si>
  <si>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</si>
  <si>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</si>
  <si>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</si>
  <si>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</si>
  <si>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</si>
  <si>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</si>
  <si>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</si>
  <si>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</si>
  <si>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</si>
  <si>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</si>
  <si>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</si>
  <si>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</si>
  <si>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</si>
  <si>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</si>
  <si>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</si>
  <si>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</si>
  <si>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</si>
  <si>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</si>
  <si>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</si>
  <si>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charset val="134"/>
        <scheme val="minor"/>
      </rPr>
      <t>CG, PAG.46, 2.7.3. O cumprimento da meta está relacionado ao</t>
    </r>
    <r>
      <rPr>
        <b/>
        <sz val="11"/>
        <color theme="1"/>
        <rFont val="Calibri"/>
        <charset val="134"/>
        <scheme val="minor"/>
      </rPr>
      <t xml:space="preserve"> envio do relatório mensal,</t>
    </r>
    <r>
      <rPr>
        <sz val="11"/>
        <color theme="1"/>
        <rFont val="Calibri"/>
        <charset val="134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</si>
  <si>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</si>
  <si>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</si>
  <si>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</si>
  <si>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</si>
  <si>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</si>
  <si>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</si>
  <si>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</si>
  <si>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</si>
  <si>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</si>
  <si>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</si>
  <si>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</si>
  <si>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</si>
  <si>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</si>
  <si>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</si>
  <si>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</si>
  <si>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</si>
  <si>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</si>
  <si>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charset val="134"/>
        <scheme val="minor"/>
      </rPr>
      <t xml:space="preserve">envio do relatório / ata mensal, </t>
    </r>
    <r>
      <rPr>
        <sz val="11"/>
        <color theme="1"/>
        <rFont val="Calibri"/>
        <charset val="134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</si>
  <si>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</si>
  <si>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</si>
  <si>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</si>
  <si>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</si>
  <si>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</si>
  <si>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</si>
  <si>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</si>
  <si>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</si>
  <si>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</si>
  <si>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</si>
  <si>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</si>
  <si>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</si>
  <si>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</si>
  <si>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</si>
  <si>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</si>
  <si>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</si>
  <si>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</si>
  <si>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</si>
  <si>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</si>
  <si>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</si>
  <si>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</si>
  <si>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</si>
  <si>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</si>
  <si>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charset val="134"/>
        <scheme val="minor"/>
      </rPr>
      <t xml:space="preserve"> envio do relatório / ata mensal,</t>
    </r>
    <r>
      <rPr>
        <sz val="11"/>
        <color theme="1"/>
        <rFont val="Calibri"/>
        <charset val="134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</si>
  <si>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</si>
  <si>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</si>
  <si>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</si>
  <si>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</si>
  <si>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</si>
  <si>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</si>
  <si>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</si>
  <si>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</si>
  <si>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</si>
  <si>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</si>
  <si>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</si>
  <si>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</si>
  <si>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</si>
  <si>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</si>
  <si>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</si>
  <si>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</si>
  <si>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</si>
  <si>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</si>
  <si>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</si>
  <si>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</si>
  <si>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</si>
  <si>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</si>
  <si>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</si>
  <si>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</si>
  <si>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charset val="134"/>
      </rPr>
      <t>deverá encaminhar a pesquisa detalhada</t>
    </r>
    <r>
      <rPr>
        <sz val="10"/>
        <color theme="1"/>
        <rFont val="Calibri"/>
        <charset val="134"/>
      </rPr>
      <t xml:space="preserve"> apresentando o nível de satisfação por área avaliada e o </t>
    </r>
    <r>
      <rPr>
        <b/>
        <sz val="10"/>
        <color theme="1"/>
        <rFont val="Calibri"/>
        <charset val="134"/>
      </rPr>
      <t xml:space="preserve">quantitativo de Ouvidoras mensais </t>
    </r>
    <r>
      <rPr>
        <sz val="10"/>
        <color theme="1"/>
        <rFont val="Calibri"/>
        <charset val="134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</si>
  <si>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</si>
  <si>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</si>
  <si>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</si>
  <si>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</si>
  <si>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</si>
  <si>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</si>
  <si>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</si>
  <si>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</si>
  <si>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</si>
  <si>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</si>
  <si>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</si>
  <si>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</si>
  <si>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</si>
  <si>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</si>
  <si>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</si>
  <si>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</si>
  <si>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</si>
  <si>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</si>
  <si>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</si>
  <si>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</si>
  <si>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</si>
  <si>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</si>
  <si>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</si>
  <si>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</si>
  <si>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</si>
  <si>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</si>
  <si>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</si>
  <si>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</si>
  <si>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</si>
  <si>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</si>
  <si>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</si>
  <si>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</si>
  <si>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</si>
  <si>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</si>
  <si>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</si>
  <si>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</si>
  <si>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</si>
  <si>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</si>
  <si>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</si>
  <si>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</si>
  <si>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</si>
  <si>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</si>
  <si>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</si>
  <si>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</si>
  <si>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</si>
  <si>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</si>
  <si>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</si>
  <si>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</si>
  <si>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</si>
  <si>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</si>
  <si>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</si>
  <si>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</si>
  <si>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</si>
  <si>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</si>
  <si>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</si>
  <si>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</si>
  <si>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</si>
  <si>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</si>
  <si>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</si>
  <si>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</si>
  <si>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</si>
  <si>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</si>
  <si>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</si>
  <si>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</si>
  <si>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</si>
  <si>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</si>
  <si>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</si>
  <si>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</si>
  <si>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</si>
  <si>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</si>
  <si>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</si>
  <si>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</si>
  <si>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</si>
  <si>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</si>
  <si>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</si>
  <si>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</si>
  <si>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</si>
  <si>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</si>
  <si>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</si>
  <si>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</si>
  <si>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</si>
  <si>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</si>
  <si>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</si>
  <si>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</si>
  <si>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</si>
  <si>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</si>
  <si>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</si>
  <si>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</si>
  <si>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</si>
  <si>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</si>
  <si>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</si>
  <si>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</si>
  <si>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</si>
  <si>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</si>
  <si>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</si>
  <si>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</si>
  <si>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</si>
  <si>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</si>
  <si>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</si>
  <si>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</si>
  <si>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</si>
  <si>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</si>
  <si>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</si>
  <si>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</si>
  <si>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</si>
  <si>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</si>
  <si>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</si>
  <si>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</si>
  <si>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</si>
  <si>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</si>
  <si>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</si>
  <si>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</si>
  <si>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</si>
  <si>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</si>
  <si>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</si>
  <si>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</si>
  <si>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</si>
  <si>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</si>
  <si>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</si>
  <si>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</si>
  <si>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</si>
  <si>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</si>
  <si>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</si>
  <si>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</si>
  <si>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</si>
  <si>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</si>
  <si>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</si>
  <si>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</si>
  <si>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</si>
  <si>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</si>
  <si>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</si>
  <si>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</si>
  <si>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</si>
  <si>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</si>
  <si>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</si>
  <si>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</si>
  <si>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</si>
  <si>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</si>
  <si>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</si>
  <si>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</si>
  <si>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</si>
  <si>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</si>
  <si>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</si>
  <si>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</si>
  <si>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</si>
  <si>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</si>
  <si>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</si>
  <si>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</si>
  <si>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</si>
  <si>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</si>
  <si>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</si>
  <si>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</si>
  <si>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</si>
  <si>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</si>
  <si>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</si>
  <si>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</si>
  <si>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</si>
  <si>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</si>
  <si>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</si>
  <si>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</si>
  <si>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</si>
  <si>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</si>
  <si>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</si>
  <si>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</si>
  <si>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</si>
  <si>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</si>
  <si>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</si>
  <si>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</si>
  <si>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</si>
  <si>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</si>
  <si>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</si>
  <si>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</si>
  <si>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</si>
  <si>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</si>
  <si>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</si>
  <si>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</si>
  <si>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</si>
  <si>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</si>
  <si>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</si>
  <si>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</si>
  <si>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</si>
  <si>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</si>
  <si>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</si>
  <si>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</si>
  <si>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</si>
  <si>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</si>
  <si>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</si>
  <si>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</si>
  <si>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</si>
  <si>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</si>
  <si>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</si>
  <si>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</si>
  <si>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</si>
  <si>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</si>
  <si>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</si>
  <si>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</si>
  <si>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</si>
  <si>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</si>
  <si>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</si>
  <si>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</si>
  <si>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</si>
  <si>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</si>
  <si>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</si>
  <si>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</si>
  <si>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</si>
  <si>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</si>
  <si>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</si>
  <si>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</si>
  <si>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</si>
  <si>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</si>
  <si>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</si>
  <si>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</si>
  <si>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</si>
  <si>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</si>
  <si>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</si>
  <si>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</si>
  <si>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</si>
  <si>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</si>
  <si>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</si>
  <si>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</si>
  <si>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</si>
  <si>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</si>
  <si>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</si>
  <si>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</si>
  <si>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</si>
  <si>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</si>
  <si>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</si>
  <si>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</si>
  <si>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</si>
  <si>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</si>
  <si>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</si>
  <si>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</si>
  <si>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 xml:space="preserve">Pacientes do mês anterior </t>
  </si>
  <si>
    <t>04.16.08.003-0</t>
  </si>
  <si>
    <t>04.06.02.007-8</t>
  </si>
  <si>
    <t>04.16.02.022-4</t>
  </si>
  <si>
    <t>04.16.05.007-7</t>
  </si>
  <si>
    <t>04.16.08.008-1</t>
  </si>
  <si>
    <t>04.18.01.003-0</t>
  </si>
  <si>
    <t>04.08.04.025-4</t>
  </si>
  <si>
    <t>04.16.02.024-0</t>
  </si>
  <si>
    <t>04.16.06.008-0</t>
  </si>
  <si>
    <t>04.16.08.001-4</t>
  </si>
  <si>
    <t>04.18.01.004-8</t>
  </si>
  <si>
    <t>04.06.04.030-3</t>
  </si>
  <si>
    <t>04.09.01.010-3</t>
  </si>
  <si>
    <t>04.16.01.013-0</t>
  </si>
  <si>
    <t>04.16.02.023-2</t>
  </si>
  <si>
    <t>04.16.04.002-0</t>
  </si>
  <si>
    <t>04.16.04.007-1</t>
  </si>
  <si>
    <t>04.16.04.020-9</t>
  </si>
  <si>
    <t>04.16.05.002-6</t>
  </si>
  <si>
    <t>04.16.05.003-4</t>
  </si>
  <si>
    <t>04.16.06.011-0</t>
  </si>
  <si>
    <t>04.16.09.013-3</t>
  </si>
  <si>
    <t>04.16.12.002-4</t>
  </si>
  <si>
    <t>04.18.02.002-7</t>
  </si>
  <si>
    <t>04.16.04.001-2</t>
  </si>
  <si>
    <t>EXCISÃO E SUTURA DE LESÃO NA PELE COM PLASTICA EM Z OU ROTAÇÃO DE RETALHO EM ONCOLOGIA</t>
  </si>
  <si>
    <t>IMPLANTAÇÃO DE CATETER DE LONGA PERMANÊNCIA SEMI OU TOTALMENTE IMPLANTAVEL (PROCEDIMENTO PRINCIPAL)</t>
  </si>
  <si>
    <t>LINFADENECTOMIA RETROPERITONIAL EM ONCOLOGIA</t>
  </si>
  <si>
    <t>RETOSSIGMOIDECTOMIA ABDOMINAL EM ONCOLOGIA</t>
  </si>
  <si>
    <t>RECONSTRUÇÃO COM RETALHO MIOCUTÂNEO (QUALQUER PARTE) EM ONCOLOGIA</t>
  </si>
  <si>
    <t>CONFECCAO DE FISTULA ARTERIO-VENOSA P/ HEMODIALISE</t>
  </si>
  <si>
    <t>TRATAMENTO CIRÚRGICO DE ASSOCIAÇÃO FRATURA / LUXAÇÃO / FRATURA-LUXAÇÃO / DISJUNÇÃO DO ANEL PÉLVICO</t>
  </si>
  <si>
    <t>LINFADENECTOMIA SELETIVA GUIADA (LINFONODO SENTINELA) EM ONCOLOGIA</t>
  </si>
  <si>
    <t>TRAQUELECTOMIA RADICAL EM ONCOLOGIA</t>
  </si>
  <si>
    <t>EXCISÂO E ENXERTO DE PELE EM ONCOLOGIA</t>
  </si>
  <si>
    <t>IMPLANTE DE CATETER DE LONGA PERMANÊNCIA P/ HEMODIALISE</t>
  </si>
  <si>
    <t>TRATAMENTO DE HEMATURIA OU SANGRAMENTO GENITAL POR EMBOLIZAÇÃO (INCLUI ESTUDO ANGIOGRÁFICO E/OU ENDOSCÓPICO)</t>
  </si>
  <si>
    <t>COLOCAÇÃO PERCUTÂNEA DE CATETER PIELO-URETERO-VESICAL UNILATERAL.</t>
  </si>
  <si>
    <t>PROSTATOVESICULECTOMIA RADICAL EM ONCOLOGIA</t>
  </si>
  <si>
    <t>LINFADENECTOMIA INGUINAL UNILATERAL EM ONCOLOGIA</t>
  </si>
  <si>
    <t>COLEDOCOSTOMIA COM OU SEM COLECISTECTOMIA EM ONCOLOGIA</t>
  </si>
  <si>
    <t>GASTRECTOMIA TOTAL EM ONCOLOGIA</t>
  </si>
  <si>
    <t>BIOPSIAS MULTIPLAS INTRA-ABDOMINAIS EM ONCOLOGIA</t>
  </si>
  <si>
    <t>LAPAROTOMIA EXPLORADORA COM RESSECÇÃO COMPLETA OU INCOMPLETA DO TUMOR EM ONCOLOGIA</t>
  </si>
  <si>
    <t>COLECTOMIA PARCIAL (HEMICOLECTOMIA) EM ONCOLOGIA</t>
  </si>
  <si>
    <t>COLECTOMIA TOTAL EM ONCOLOGIA</t>
  </si>
  <si>
    <t>HISTERECTOMIA COM OU SEM ANEXECTOMIA (UNI / BILATERAL) EM ONCOLOGIA</t>
  </si>
  <si>
    <t>RESSECCAO DE TUMOR DE PARTES MOLES EM ONCOLOGIA</t>
  </si>
  <si>
    <t>MASTECTOMIA RADICAL COM LINFADENECTOMIA AXILAR EM ONCOLOGIA</t>
  </si>
  <si>
    <t>LIGADURA DE FISTULA ARTERIO-VENOSA</t>
  </si>
  <si>
    <t>ANASTOMOSE BILEO-DIGESTIVA EM ONCOLOGIA</t>
  </si>
  <si>
    <t>03.10.01.003-9</t>
  </si>
  <si>
    <t>04.07.04.018-8</t>
  </si>
  <si>
    <t>04.07.04.025-0</t>
  </si>
  <si>
    <t>04.07.02.003-9</t>
  </si>
  <si>
    <t>04.11.01.003-4</t>
  </si>
  <si>
    <t>04.15.04.003-5</t>
  </si>
  <si>
    <t>02.09.02.001-6</t>
  </si>
  <si>
    <t>04.06.02.057-4</t>
  </si>
  <si>
    <t>04.01.02.005-3</t>
  </si>
  <si>
    <t>04.08.02.017-2</t>
  </si>
  <si>
    <t>04.07.03.003-4</t>
  </si>
  <si>
    <t>04.08.05.063-2</t>
  </si>
  <si>
    <t>02.01.01.026-7</t>
  </si>
  <si>
    <t>04.01.01.003-1</t>
  </si>
  <si>
    <t>04.07.02.010-1</t>
  </si>
  <si>
    <t>04.08.02.043-1</t>
  </si>
  <si>
    <t>04.08.05.057-8</t>
  </si>
  <si>
    <t>04.08.01.018-5</t>
  </si>
  <si>
    <t>04.11.01.004-2</t>
  </si>
  <si>
    <t>04.08.01.015-0</t>
  </si>
  <si>
    <t>04.08.05.048-9</t>
  </si>
  <si>
    <t>04.11.01.002-6</t>
  </si>
  <si>
    <t>04.04.01.037-7</t>
  </si>
  <si>
    <t>04.07.02.006-3</t>
  </si>
  <si>
    <t>PARTO NORMAL</t>
  </si>
  <si>
    <t>LIBERAÇÃO DE ADERÊNCIAS INTESTINAIS</t>
  </si>
  <si>
    <t>TRATAMENTO CIRÚRGICO DE PERITONITE</t>
  </si>
  <si>
    <t>APENDICECTOMIA</t>
  </si>
  <si>
    <t>OPERACAO CESARIANA</t>
  </si>
  <si>
    <t>DEBRIDAMENTO DE ULCERA  / DE TECIDOS DESVITALIZADOS</t>
  </si>
  <si>
    <t>CISTOSCOPIA E/OU URETEROSCOPIA E/OU URETROSCOPIA</t>
  </si>
  <si>
    <t>TRATAMENTO CIRÚRGICO DE VARIZES (UNILATERAL)</t>
  </si>
  <si>
    <t>EXCISÃO E SUTURA DE LESAO NA PELE C/ PLÁSTICA EM Z OU ROTAÇÃO DE RETALHO</t>
  </si>
  <si>
    <t>REDUÇÃO INCRUENTA DE FRATURA / LESÃO FISARIA NO PUNHO</t>
  </si>
  <si>
    <t>COLECISTECTOMIA  VIDEOLAPAROSCÓPICA</t>
  </si>
  <si>
    <t>TRATAMENTO CIRÚRGICO DE FRATURA TRANSTROCANTERIANA</t>
  </si>
  <si>
    <t>BIOPSIA DE LESAO DE PARTES MOLES (POR AGULHA / CEU ABERTO)</t>
  </si>
  <si>
    <t>DRENAGEM DE ABSCESSO</t>
  </si>
  <si>
    <t>COLOSTOMIA</t>
  </si>
  <si>
    <t>TRATAMENTO CIRÚRGICO DE FRATURA DIAFISARIA ÚNICA DO RÁDIO / DA ULNA</t>
  </si>
  <si>
    <t>TRATAMENTO CIRÚRGICO DE FRATURA DO TORNOZELO UNIMALEOLAR</t>
  </si>
  <si>
    <t>TRATAMENTO CIRURGICO DE LUXACAO / FRATURA-LUXACAO ACROMIO-CLAVICULAR</t>
  </si>
  <si>
    <t>OPERACAO CESARIANA C/ LAQUEADURA TUBARIA</t>
  </si>
  <si>
    <t>TRATAMENTO CIRÚRGICO DE FRATURA DA CLAVÍCULA</t>
  </si>
  <si>
    <t>TRATAMENTO CIRURGICO DE FRATURA / LESAO FISARIA PROXIMAL (COLO) DO FEMUR (SINTESE)</t>
  </si>
  <si>
    <t>OPERACAO CESARIANA EM GESTACAO DE ALTO RISCO</t>
  </si>
  <si>
    <t>TRAQUEOSTOMIA</t>
  </si>
  <si>
    <t>COLECTOMIA PARCIAL (HEMICOLECTOMIA)</t>
  </si>
  <si>
    <t>04.07.04.016-1</t>
  </si>
  <si>
    <t>04.08.05.001-2</t>
  </si>
  <si>
    <t>04.08.06.048-4</t>
  </si>
  <si>
    <t>04.09.01.017-0</t>
  </si>
  <si>
    <t>04.09.01.038-3</t>
  </si>
  <si>
    <t>04.04.02.062-3</t>
  </si>
  <si>
    <t>04.06.02.062-0</t>
  </si>
  <si>
    <t>04.07.02.028-4</t>
  </si>
  <si>
    <t>04.07.02.030-6</t>
  </si>
  <si>
    <t>04.07.04.001-3</t>
  </si>
  <si>
    <t>04.07.04.010-2</t>
  </si>
  <si>
    <t>04.08.02.034-2</t>
  </si>
  <si>
    <t>04.08.02.053-9</t>
  </si>
  <si>
    <t>04.08.05.049-7</t>
  </si>
  <si>
    <t>04.08.05.055-1</t>
  </si>
  <si>
    <t>04.08.05.069-1</t>
  </si>
  <si>
    <t>04.13.01.004-0</t>
  </si>
  <si>
    <t>04.04.02.049-6</t>
  </si>
  <si>
    <t>04.06.02.028-0</t>
  </si>
  <si>
    <t>04.07.02.007-1</t>
  </si>
  <si>
    <t>04.07.02.018-7</t>
  </si>
  <si>
    <t>04.07.02.020-9</t>
  </si>
  <si>
    <t>04.07.03.001-8</t>
  </si>
  <si>
    <t>04.07.03.002-6</t>
  </si>
  <si>
    <t>04.08.02.020-2</t>
  </si>
  <si>
    <t>04.08.06.037-9</t>
  </si>
  <si>
    <t>04.08.06.047-6</t>
  </si>
  <si>
    <t>04.09.01.006-5</t>
  </si>
  <si>
    <t>LAPAROTOMIA EXPLORADORA</t>
  </si>
  <si>
    <t>AMPUTACAO / DESARTICULACAO DE MEMBROS INFERIORES</t>
  </si>
  <si>
    <t>TENORRAFIA ÚNICA EM TÚNEL OSTEO-FIBROSO</t>
  </si>
  <si>
    <t>INSTALAÇÃO ENDOSCÓPICA DE CATETER DUPLO J</t>
  </si>
  <si>
    <t>RESSECCAO ENDOSCOPICA DE LESÃO VESICAL</t>
  </si>
  <si>
    <t>RETIRADA DE MATERIAL DE SÍNTESE ÓSSEA / DENTÁRIA</t>
  </si>
  <si>
    <t>RETIRADA DE CATETER DE LONGA PERMANÊNCIA SEMI OU TOTALMENTE IMPLANTÁVEL</t>
  </si>
  <si>
    <t>HEMORROIDECTOMIA</t>
  </si>
  <si>
    <t>JEJUNOSTOMIA / ILEOSTOMIA</t>
  </si>
  <si>
    <t>DRENAGEM DE ABSCESSO PÉLVICO</t>
  </si>
  <si>
    <t>HERNIOPLASTIA INGUINAL / CRURAL (UNILATERAL)</t>
  </si>
  <si>
    <t>TRATAMENTO CIRÚRGICO DE FRATURA / LESÃO FISARIA DAS FALANGES DA MÃO (COM FIXAÇÃO)</t>
  </si>
  <si>
    <t>TRATAMENTO CIRÚRGICO DE LUXAÇÃO / FRATURA-LUXAÇÃO METACARPO-FALANGIANA</t>
  </si>
  <si>
    <t>TRATAMENTO CIRÚRGICO DE FRATURA BIMALEOLAR / TRIMALEOLAR / DA FRATURA-LUXAÇÃO DO TORNOZELO</t>
  </si>
  <si>
    <t>TRATAMENTO CIRÚRGICO DE FRATURA DO PLANALTO TIBIAL</t>
  </si>
  <si>
    <t>TRATAMENTO CIRÚRGICO DE LUXAÇÃO / FRATURA-LUXAÇÃO METATARSO-FALANGIANA / INTER-FALANGIANA</t>
  </si>
  <si>
    <t>CURATIVO EM MEDIO QUEIMADO</t>
  </si>
  <si>
    <t>OSTEOSSÍNTESE DE FRATURA UNILATERAL DO CÔNDILO MANDIBULAR</t>
  </si>
  <si>
    <t>LINFADENECTOMIA RETROPERITONIAL</t>
  </si>
  <si>
    <t>COLECTOMIA TOTAL</t>
  </si>
  <si>
    <t>ENTEROANASTOMOSE (QUALQUER SEGMENTO)</t>
  </si>
  <si>
    <t>ENTEROTOMIA E/OU ENTERORRAFIA C/ SUTURA / RESSECÇÃO (QUALQUER SEGMENTO)</t>
  </si>
  <si>
    <t>ANASTOMOSE BILEO-DIGESTIVA</t>
  </si>
  <si>
    <t>COLECISTECTOMIA</t>
  </si>
  <si>
    <t>REDUÇÃO INCRUENTA DE FRATURA DIAFISARIA DOS OSSOS DO ANTEBRAÇO</t>
  </si>
  <si>
    <t>RETIRADA DE PLACA E/OU PARAFUSOS</t>
  </si>
  <si>
    <t>TENOPLASTIA OU ENXERTO DE TENDÃO UNICO</t>
  </si>
  <si>
    <t>CISTOLITOTOMIA E/OU RETIRADA DE CORPO ESTRANHO DA BEXIGA</t>
  </si>
  <si>
    <t>04.07.01.024-6</t>
  </si>
  <si>
    <t>04.07.01.029-7</t>
  </si>
  <si>
    <t>04.07.02.017-9</t>
  </si>
  <si>
    <t>04.07.02.040-3</t>
  </si>
  <si>
    <t>04.07.03.005-0</t>
  </si>
  <si>
    <t>04.07.03.006-9</t>
  </si>
  <si>
    <t>04.07.03.014-0</t>
  </si>
  <si>
    <t>04.07.03.024-7</t>
  </si>
  <si>
    <t>04.07.04.002-1</t>
  </si>
  <si>
    <t>04.07.04.003-0</t>
  </si>
  <si>
    <t>04.07.04.008-0</t>
  </si>
  <si>
    <t>04.07.04.023-4</t>
  </si>
  <si>
    <t>04.07.04.024-2</t>
  </si>
  <si>
    <t>04.08.01.013-4</t>
  </si>
  <si>
    <t>04.08.01.021-5</t>
  </si>
  <si>
    <t>04.08.02.022-9</t>
  </si>
  <si>
    <t>04.08.02.033-4</t>
  </si>
  <si>
    <t>04.08.02.044-0</t>
  </si>
  <si>
    <t>04.08.02.046-6</t>
  </si>
  <si>
    <t>04.08.02.054-7</t>
  </si>
  <si>
    <t>04.08.04.005-0</t>
  </si>
  <si>
    <t>04.08.04.020-3</t>
  </si>
  <si>
    <t>04.08.05.046-2</t>
  </si>
  <si>
    <t>04.08.05.056-0</t>
  </si>
  <si>
    <t>04.08.05.068-3</t>
  </si>
  <si>
    <t>04.08.06.004-2</t>
  </si>
  <si>
    <t>04.08.06.031-0</t>
  </si>
  <si>
    <t>04.08.06.035-2</t>
  </si>
  <si>
    <t>04.08.06.063-8</t>
  </si>
  <si>
    <t>04.09.01.008-1</t>
  </si>
  <si>
    <t>RETIRADA DE CORPO ESTRANHO DO TUBO DIGESTIVO POR ENDOSCOPIA</t>
  </si>
  <si>
    <t>TRATAMENTO CIRÚRGICO DE REFLUXO GASTROESOFÁGICO</t>
  </si>
  <si>
    <t>ENTERECTOMIA</t>
  </si>
  <si>
    <t>RETOSSIGMOIDECTOMIA ABDOMINAL</t>
  </si>
  <si>
    <t>COLEDOCOPLASTIA</t>
  </si>
  <si>
    <t>COLEDOCOTOMIA COM OU SEM COLECISTECTOMIA</t>
  </si>
  <si>
    <t>HEPATORRAFIA</t>
  </si>
  <si>
    <t>TRATAMENTO CIRÚRGICO DE CISTOS PANCREÁTICOS</t>
  </si>
  <si>
    <t>DRENAGEM DE ABSCESSO SUBFRÊNICO</t>
  </si>
  <si>
    <t>DRENAGEM DE HEMATOMA  / ABSCESSO PRE-PERITONEAL</t>
  </si>
  <si>
    <t>HERNIOPLASTIA INCISIONAL</t>
  </si>
  <si>
    <t>RESSECÇÃO DO EPIPLOM</t>
  </si>
  <si>
    <t>RESSUTURA DE PAREDE ABDOMINAL (POR DEISCENCIA TOTAL / EVISCERAÇÃO)</t>
  </si>
  <si>
    <t>REDUCAO INCRUENTA DE LUXAÇÃO OU FRATURA / LUXAÇÃO ESCÁPULO-UMERAL</t>
  </si>
  <si>
    <t>TRATAMENTO CIRÚRGICO DE LUXAÇÃO RECIDIVANTE / HABITUAL DE ARTICULAÇÃO ESCAPULO-UMERAL</t>
  </si>
  <si>
    <t>REDUÇÃO INCRUENTA DE LUXAÇÃO / FRATURA-LUXAÇÃO DO COTOVELO</t>
  </si>
  <si>
    <t>TRATAMENTO CIRÚRGICO DE FRATURA / LESÃO FISARIA DA EXTREMIDADE PROXIMAL DO UMERO</t>
  </si>
  <si>
    <t>TRATAMENTO CIRÚRGICO DE FRATURA LESÃO FISARIA DOS OSSOS DO ANTEBRAÇO</t>
  </si>
  <si>
    <t>TRATAMENTO CIRÚRGICO DE FRATURAS DOS OSSOS DO CARPO</t>
  </si>
  <si>
    <t>TRATAMENTO CIRÚRGICO DE LUXAÇÃO OU FRATURA-LUXAÇÃO DO COTOVELO</t>
  </si>
  <si>
    <t>ARTROPLASTIA PARCIAL DE QUADRIL</t>
  </si>
  <si>
    <t>REDUÇÃO INCRUENTA DISJUNÇÃO / LUXAÇÃO / FRATURA / FRATURA-LUXAÇÃO AO NÍVEL DO ANEL PÉLVICO</t>
  </si>
  <si>
    <t>TRATAMENTO CIRURGICO DE FRATURA / LESAO FISARIA DOS METATARSIANOS</t>
  </si>
  <si>
    <t>TRATAMENTO CIRÚRGICO DE FRATURA DO TALUS</t>
  </si>
  <si>
    <t>TRATAMENTO CIRÚRGICO DE LUXAÇÃO / FRATURA-LUXAÇÃO AO NÍVEL DO JOELHO</t>
  </si>
  <si>
    <t>AMPUTAÇÃO / DESARTICULAÇÃO DE DEDO</t>
  </si>
  <si>
    <t>RESSECÇÃO SIMPLES DE TUMOR ÓSSEO / DE PARTES MOLES</t>
  </si>
  <si>
    <t>RETIRADA DE FIO OU PINO INTRA-ÓSSEO</t>
  </si>
  <si>
    <t>TRATAMENTO CIRÚRGICO DE LUXAÇÃO / FRATURA-LUXAÇÃO METATARSO INTER-FALANGEANA</t>
  </si>
  <si>
    <t>CISTORRAFIA</t>
  </si>
  <si>
    <t>04.09.02.017-6</t>
  </si>
  <si>
    <t>04.09.03.004-0</t>
  </si>
  <si>
    <t>04.09.04.014-2</t>
  </si>
  <si>
    <t>04.09.04.021-5</t>
  </si>
  <si>
    <t>04.09.05.008-3</t>
  </si>
  <si>
    <t>04.09.06.018-6</t>
  </si>
  <si>
    <t>04.09.06.021-6</t>
  </si>
  <si>
    <t>04.10.01.007-3</t>
  </si>
  <si>
    <t>04.10.01.011-1</t>
  </si>
  <si>
    <t>04.10.01.012-0</t>
  </si>
  <si>
    <t>04.12.03.012-8</t>
  </si>
  <si>
    <t>04.12.05.017-0</t>
  </si>
  <si>
    <t>04.15.01.001-2</t>
  </si>
  <si>
    <t>04.15.02.003-4</t>
  </si>
  <si>
    <t>URETROTOMIA INTERNA</t>
  </si>
  <si>
    <t>RESSECÇÃO ENDOSCÓPICA DE PRÓSTATA</t>
  </si>
  <si>
    <t>ORQUIECTOMIA SUBCAPSULAR BILATERAL</t>
  </si>
  <si>
    <t>TRATAMENTO CIRÚRGICO DE HIDROCELE</t>
  </si>
  <si>
    <t>POSTECTOMIA</t>
  </si>
  <si>
    <t>LAQUEADURA TUBARIA</t>
  </si>
  <si>
    <t>OOFORECTOMIA / OOFOROPLASTIA</t>
  </si>
  <si>
    <t>PLASTICA MAMÁRIA FEMININA NAO ESTETICA</t>
  </si>
  <si>
    <t>SETORECTOMIA / QUADRANTECTOMIA</t>
  </si>
  <si>
    <t>SETORECTOMIA / QUADRANTECTOMIA C/ ESVAZIAMENTO GANGLIONAR</t>
  </si>
  <si>
    <t>RETIRADA DE DRENO TUBULAR TORACICO</t>
  </si>
  <si>
    <t>TORACOCENTESE/DRENAGEM DE PLEURA</t>
  </si>
  <si>
    <t>TRATAMENTO C/ CIRURGIAS MULTIPLAS</t>
  </si>
  <si>
    <t>OUTROS PROCEDIMENTOS COM CIRURGIAS SEQUENCIAIS</t>
  </si>
  <si>
    <t>02.04.05.005-7</t>
  </si>
  <si>
    <t>02.09.01.002-9</t>
  </si>
  <si>
    <t>02.09.01.004-5</t>
  </si>
  <si>
    <t>04.01.01.005-8</t>
  </si>
  <si>
    <t>04.03.01.001-2</t>
  </si>
  <si>
    <t>04.03.01.010-1</t>
  </si>
  <si>
    <t>04.04.01.041-5</t>
  </si>
  <si>
    <t>04.04.01.048-2</t>
  </si>
  <si>
    <t>04.04.02.070-4</t>
  </si>
  <si>
    <t>04.06.02.019-1</t>
  </si>
  <si>
    <t>04.06.02.021-3</t>
  </si>
  <si>
    <t>04.06.02.026-4</t>
  </si>
  <si>
    <t>04.06.02.049-3</t>
  </si>
  <si>
    <t>FISTULOGRAFIA</t>
  </si>
  <si>
    <t>COLONOSCOPIA (COLOSCOPIA</t>
  </si>
  <si>
    <t>LAPAROSCOPIA</t>
  </si>
  <si>
    <t>EXCISAO DE LESAO E/OU SUTURA DE FERIMENTO DA PELE ANEXOS E MUCOSA</t>
  </si>
  <si>
    <t>CRANIOPLASTIA</t>
  </si>
  <si>
    <t>DERIVAÇÃO VENTRICULAR PARA PERITÔNEO / ÁTRIO / PLEURA /RAQUE</t>
  </si>
  <si>
    <t>TURBINECTOMIA</t>
  </si>
  <si>
    <t>SEPTOPLASTIA PARA CORREÇÃO DE DESVIO</t>
  </si>
  <si>
    <t>OSTEOSSÍNTESE DA FRATURA DO OSSO ZIGOMÁTICO</t>
  </si>
  <si>
    <t>LINFADENECTOMIA PÉLVICA</t>
  </si>
  <si>
    <t>LINFADENECTOMIA RADICAL AXILAR BILATERAL</t>
  </si>
  <si>
    <t>LINFADENECTOMIA RADICAL INGUINAL UNILATERAL</t>
  </si>
  <si>
    <t>TRATAMENTO CIRURGICO DE LESOES VASCULARES TRAUMATICAS DA REGIAO CERVICAL</t>
  </si>
  <si>
    <t>04.11.01.001-8</t>
  </si>
  <si>
    <t>DESCOLAMENTO MANUAL DE PLACENTA</t>
  </si>
  <si>
    <t>04.11.02.001-3</t>
  </si>
  <si>
    <t>CURETAGEM POS-ABORTAMENTO / PUERPERAL</t>
  </si>
  <si>
    <t xml:space="preserve">AGULHA HUBER C/ DISPOSITIVO DE SEGURANÇA E LINHA DE INFUSAO 20Gx15mm P/ PUNÇÃO DE CATETER TOTALMENTE IMPLANTAVEL </t>
  </si>
  <si>
    <t>LABORATORIOS B BRAUN SA</t>
  </si>
  <si>
    <t>AGULHA HUBER C/ DISPOSITIVO DE SEGURANÇA E LINHA DE INFUSAO 20Gx20mm P/ PUNÇÃO DE CATETER TOTALMENTE IMPLANTAVEL</t>
  </si>
  <si>
    <t>AGULHA PARA ANESTESIA DE PLEXO REVESTIDA DE TEFLON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</si>
  <si>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</si>
  <si>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</si>
  <si>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</si>
  <si>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</si>
  <si>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</si>
  <si>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</si>
  <si>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CANETA MONOPOLAR P/ ELETROCAUTÉRIO CONTROLE MANUAL - DESCARTÁVEL</t>
  </si>
  <si>
    <t>CAPILAR - DIALISADOR P/ HEMODIALISE DE BAIXO FLUXO - SUPERFICIE EFETIVA (m²) 1.8 - HPS F8</t>
  </si>
  <si>
    <t>CATETER INTRAV. PERIF. Nº 20 C/ DISP. DE SEGURANÇA</t>
  </si>
  <si>
    <t>QR CONSULTING, IMPORTACAO E DISTRIBUICAO DE PRODUTOS MEDICOS LTDA</t>
  </si>
  <si>
    <t>CATETER INTRAV. PERIF. Nº 22 C/ DISP. DE SEGURANÇA</t>
  </si>
  <si>
    <t>CATETER TOTALMENTE IMPLANTÁVEL DE 8.5 FR X 80CM PARA INFUSÃO DE QUIMIOTERÁPICOS</t>
  </si>
  <si>
    <t xml:space="preserve">ELETRODO DESC. ADULTO 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</si>
  <si>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</si>
  <si>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</si>
  <si>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Equipo Bomba Normal Santronic  -  EQUIPO PARA BOMBA DE INFUSÃO SAMTRONIC S/FILTRO EI 0421 0000</t>
  </si>
  <si>
    <t>EQUIPO MACRO C/ENTRADA DE AR E INJ. LATERAL</t>
  </si>
  <si>
    <t>EXTENSOR PACIENTE COM ANTIRREFLUXO UMA VIA</t>
  </si>
  <si>
    <t>1000MEDIC</t>
  </si>
  <si>
    <t>F.MONONYLON 3.0 C/A P1663T</t>
  </si>
  <si>
    <t>JOHNSON</t>
  </si>
  <si>
    <t>F.VICRYL 1 C/A J535H</t>
  </si>
  <si>
    <t>FITA MICROPORE 5,0CMX10MT</t>
  </si>
  <si>
    <t>FRALDA GERIATRICA TAMANHO EG</t>
  </si>
  <si>
    <t>FORTSEC INDUSTRIA &amp; COMERCIO DE PRODUTOS DE HIGIENE LTDA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</si>
  <si>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</si>
  <si>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</si>
  <si>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</si>
  <si>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</si>
  <si>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MEDIX</t>
  </si>
  <si>
    <t>LUVA PROCED. PEQUENA NITRÍLICA SEM PÓ</t>
  </si>
  <si>
    <t>LUVA PROCEDIMENTO PEQUENA COM PÓ - CX/100UNID</t>
  </si>
  <si>
    <t>SERINGA DESCARTAVEL 10 ML S/ AGULHA - SLIP S/DISPOSITIVO – C/ GRADUAÇÃO POR ML</t>
  </si>
  <si>
    <t>DESCARPACK</t>
  </si>
  <si>
    <t>SERINGA DESCARTAVEL 20 ML S/ AGULHA - SLIP S/DISPOSITIVO</t>
  </si>
  <si>
    <t>INJEX</t>
  </si>
  <si>
    <t>SERINGA DESCARTAVEL 60 ML S/ AGULHA - BICO LUER LOCK  - S/DISPOSITIVO</t>
  </si>
  <si>
    <t>BD</t>
  </si>
  <si>
    <t>TIRAS P/ HGT</t>
  </si>
  <si>
    <t>ABIRATERONA 250MG COMP</t>
  </si>
  <si>
    <t>GENÉRICO</t>
  </si>
  <si>
    <t>SUN FARMACEUTICA DO BRASIL LTDA</t>
  </si>
  <si>
    <t>ALBUMINA HUMANA 20% 50ML</t>
  </si>
  <si>
    <t>ALBUREX 20</t>
  </si>
  <si>
    <t>CSL BEHRING COMERCIO DE PRODUTOS FARMACEUTICOS LTDA</t>
  </si>
  <si>
    <t xml:space="preserve">ALFAPORACTANTO 80MG/ML-3ML </t>
  </si>
  <si>
    <t>CUROSURF</t>
  </si>
  <si>
    <t>CHIESI FARMACEUTICA LTDA</t>
  </si>
  <si>
    <t>ALTEplase 50MG 1 F/A+DIL. 50ML</t>
  </si>
  <si>
    <t>ACTILYSE</t>
  </si>
  <si>
    <t>BOEHRINGER INGELHEIM DO BRASIL QUIMICA E FARMACEUTICA LTDA. - FILIAL 2</t>
  </si>
  <si>
    <t>AMPICILINA 2G + SULBACTAM 1G AMP. ( IV / IM )</t>
  </si>
  <si>
    <t>BACILO DE CALMETTE-GUÉRIN(Imuno BCG) - 40MG</t>
  </si>
  <si>
    <t>URO HIPE</t>
  </si>
  <si>
    <t>UNO HEALTHCARE COMERCIO DE MEDICAMENTOS LTDA.</t>
  </si>
  <si>
    <t>BLEOMICINA 15UI - EV</t>
  </si>
  <si>
    <t>CAPECITABINA  500mg - VO</t>
  </si>
  <si>
    <t>CARBOplatina  450MG/45ML - EV</t>
  </si>
  <si>
    <t>CARBOplatina 150 MG/15Ml - EV</t>
  </si>
  <si>
    <t>P-PLATIN</t>
  </si>
  <si>
    <t>BLAU FARMACEUTICA S.A.</t>
  </si>
  <si>
    <t>CeFAZolina 1G ( IV / IM ) AMP</t>
  </si>
  <si>
    <t>CETOPROFENO 100MG/100ML (PRONTO USO)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</si>
  <si>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</si>
  <si>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</si>
  <si>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</si>
  <si>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CREME BARREIRA 80G - PROTETOR DA PELE</t>
  </si>
  <si>
    <t>DIETA ENTERAL ESPECIALIZADA COM ALTO TEOR CALÓRICO E PROTEICO 2KCAL/ML + 0,1G DE PROTEINA/ML - 500ML</t>
  </si>
  <si>
    <t>FRESUBIN 2.0</t>
  </si>
  <si>
    <t>FRESENIUS KABI BRASIL LTDA.</t>
  </si>
  <si>
    <t>DIETA ENTERAL ESPECIALIZADA OLIGOMERICA 1.3KCAL + 0,067G DE PROTEINA/ML - 500ML</t>
  </si>
  <si>
    <t>OPD SURVIMED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</si>
  <si>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</si>
  <si>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</si>
  <si>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</si>
  <si>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</si>
  <si>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DIPIRONA 500MG/ML AMP. 2ML ( IV / IM )</t>
  </si>
  <si>
    <t>DIPIFARMA</t>
  </si>
  <si>
    <t>FARMACE - INDUSTRIA QUIMICO-FARMACEUTICA CEARENSE LTDA</t>
  </si>
  <si>
    <t>ENOXAparina 40MG/0,4ML SER. ( IV / SC )</t>
  </si>
  <si>
    <t>HEPTRIS</t>
  </si>
  <si>
    <t>VIATRIS BRASIL IMPORTADORA E DISTRIBUIDORA DE MEDICAMENTOS LTDA</t>
  </si>
  <si>
    <t>FentaNILA 0,05MG/ML AMP. 10ML ( IV / IM )</t>
  </si>
  <si>
    <t>UNIFENTAL</t>
  </si>
  <si>
    <t>UNIAO QUIMICA FARMACEUTICA NACIONAL S A - FILIAL 9</t>
  </si>
  <si>
    <t>FILGRASTIM 300MCG/0,5ml - SC SERINGA (PRONTO PRA USO)</t>
  </si>
  <si>
    <t>FIPRIMA</t>
  </si>
  <si>
    <t>EUROFARMA LABORATORIOS S.A. - FILIAL 16</t>
  </si>
  <si>
    <t>FLUORURACILA  2500MG/50ML – EV</t>
  </si>
  <si>
    <t xml:space="preserve">FAULDFLUOR </t>
  </si>
  <si>
    <t>LIBBS FARMACEUTICA LTDA</t>
  </si>
  <si>
    <t>GENCITABINA 1000MG – EV</t>
  </si>
  <si>
    <t>GCIB</t>
  </si>
  <si>
    <t>CRISTALIA PRODUTOS QUIMICOS FARMACEUTICOS LTDA</t>
  </si>
  <si>
    <t>HEPArina 5.000UI/0,25ML AMP. 0,25ML ( SC )</t>
  </si>
  <si>
    <t>IRINOTECANO 100MG/5ML - EV</t>
  </si>
  <si>
    <t>LEUCOVORIN (FOLINATO DE CÁLCIO) 300MG/30ML</t>
  </si>
  <si>
    <t xml:space="preserve">LEUPRORRELINA 22,5MG SC - SERINGA C/ PÓ LIÓFILO E SERINGA C/ DILUENTE </t>
  </si>
  <si>
    <t>ELIGARD</t>
  </si>
  <si>
    <t>ADIUM S.A.</t>
  </si>
  <si>
    <t>MEROPENEM 1G AMP. ( IV )</t>
  </si>
  <si>
    <t>METILprednisolona 125MG AMP. ( IV / IM )</t>
  </si>
  <si>
    <t>MIDAzolam 5MG/ML AMP. 10ML ( IV / IM / RETAL )</t>
  </si>
  <si>
    <t>HIPOLABOR FARMACEUTICA LTDA</t>
  </si>
  <si>
    <t>OCTREOTIDA 0,1MG/ML</t>
  </si>
  <si>
    <t>OMEPRAZOL 40MG FR. ( IV )</t>
  </si>
  <si>
    <t>BLAU FARMACEUTICA S.A</t>
  </si>
  <si>
    <t>OXALiplatina 100MG/20ML - EV</t>
  </si>
  <si>
    <t>PACLITAXEL 300MG/50ML - EV</t>
  </si>
  <si>
    <t>EVOTAXEL</t>
  </si>
  <si>
    <t>FARMARIN INDUSTRIA E COMERCIO LTDA</t>
  </si>
  <si>
    <t>PIPERACILINA 4G + TAZOBACTAM 0,5G AMP. ( IV )</t>
  </si>
  <si>
    <t>POLIMIXINA B SULFATO 500.000 UI (EV / IM)</t>
  </si>
  <si>
    <t>PROPOfol 10MG/ML 20ML ( IV ) AMP</t>
  </si>
  <si>
    <t>PROPOTIL</t>
  </si>
  <si>
    <t>MIDFARMA PRODUTOS FARMACEUTICOS LTDA.</t>
  </si>
  <si>
    <t>SEVOflurano 250ML FR</t>
  </si>
  <si>
    <t>INSTITUTO BIOCHIMICO INDUSTRIA FARMACEUTICA LTDA</t>
  </si>
  <si>
    <t>SOLUÇÃO FISIOLOGICA 0,9% 1000ML</t>
  </si>
  <si>
    <t>SOLUÇÃO FISIOLOGICA 0,9% 100ML</t>
  </si>
  <si>
    <t>EQUIPLEX INDUSTRIA FARMACEUTICA LTDA -</t>
  </si>
  <si>
    <t>SOLUÇÃO FISIOLOGICA 0,9% 250ML</t>
  </si>
  <si>
    <t>SOLUÇÃO FISIOLOGICA 0,9% 500ML</t>
  </si>
  <si>
    <t>TOPOTECANO 4MG - EV</t>
  </si>
  <si>
    <t>VANCOmicina 500MG AMP. ( IV )</t>
  </si>
  <si>
    <t>AUXILIAR ADMINISTRATIVO(RH)</t>
  </si>
  <si>
    <t>BIOMÉDICO</t>
  </si>
  <si>
    <t>ASSISTENTE ADMINISTRATIVO(FIN</t>
  </si>
  <si>
    <t>AUXILIAR. ADMINISTRATIVO (ONC)</t>
  </si>
  <si>
    <t>SUPERVISORA SERV OPERACIONAIS</t>
  </si>
  <si>
    <t>GERENTE ENFERMAGEM</t>
  </si>
  <si>
    <t>AUXILIAR ADMINISTRATIVO(AGEND)</t>
  </si>
  <si>
    <t>GERENTE DE SUPRIMENTOS</t>
  </si>
  <si>
    <t>GERENTE ASSISTENCIAL</t>
  </si>
  <si>
    <t>SUPERVISOR MANUTENÇÃO</t>
  </si>
  <si>
    <t>ANALISTA TECNOLOGIA INFORMAÇÃO</t>
  </si>
  <si>
    <t>FEVEREIRO</t>
  </si>
  <si>
    <t>SÃO MIGUEL DO OESTE, 15 DE MARÇO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</si>
</sst>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6">
    <font>
      <sz val="11"/>
      <color theme="1"/>
      <name val="Calibri"/>
      <charset val="134"/>
      <scheme val="minor"/>
    </font>
    <font>
      <b/>
      <u/>
      <sz val="14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name val="Calibri"/>
      <charset val="134"/>
    </font>
    <font>
      <sz val="10"/>
      <color indexed="8"/>
      <name val="Calibri"/>
      <charset val="134"/>
      <scheme val="minor"/>
    </font>
    <font>
      <b/>
      <sz val="14"/>
      <name val="Calibri"/>
      <charset val="134"/>
      <scheme val="minor"/>
    </font>
    <font>
      <b/>
      <sz val="10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0"/>
      <color theme="1"/>
      <name val="Calibri"/>
      <charset val="134"/>
    </font>
    <font>
      <sz val="11"/>
      <color indexed="8"/>
      <name val="Calibri"/>
      <charset val="134"/>
    </font>
    <font>
      <sz val="11"/>
      <color rgb="FFFF0000"/>
      <name val="Arial"/>
      <charset val="134"/>
    </font>
    <font>
      <b/>
      <sz val="11"/>
      <name val="Calibri"/>
      <charset val="134"/>
    </font>
    <font>
      <b/>
      <sz val="11"/>
      <color indexed="8"/>
      <name val="Calibri"/>
      <charset val="134"/>
    </font>
    <font>
      <sz val="11"/>
      <color rgb="FFFF0000"/>
      <name val="Calibri"/>
      <charset val="134"/>
    </font>
    <font>
      <b/>
      <sz val="12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1"/>
      <color rgb="FF00000A"/>
      <name val="Calibri"/>
      <charset val="134"/>
    </font>
    <font>
      <b/>
      <sz val="11"/>
      <color rgb="FF00000A"/>
      <name val="Calibri"/>
      <charset val="134"/>
    </font>
    <font>
      <sz val="11"/>
      <color rgb="FF000000"/>
      <name val="Calibri"/>
      <charset val="134"/>
    </font>
    <font>
      <b/>
      <sz val="11"/>
      <name val="Calibri"/>
    </font>
    <font>
      <sz val="11"/>
      <name val="Calibri"/>
    </font>
    <font>
      <sz val="20"/>
      <color indexed="8"/>
      <name val="Calibri"/>
      <charset val="134"/>
    </font>
    <font>
      <b/>
      <sz val="20"/>
      <name val="Calibri"/>
      <charset val="134"/>
    </font>
    <font>
      <sz val="24"/>
      <color indexed="8"/>
      <name val="Calibri"/>
      <charset val="134"/>
    </font>
    <font>
      <sz val="36"/>
      <color indexed="8"/>
      <name val="Calibri"/>
      <charset val="134"/>
    </font>
    <font>
      <u/>
      <sz val="20"/>
      <color indexed="8"/>
      <name val="Calibri"/>
      <charset val="134"/>
    </font>
    <font>
      <b/>
      <sz val="20"/>
      <color indexed="8"/>
      <name val="Calibri"/>
      <charset val="134"/>
    </font>
    <font>
      <b/>
      <sz val="10"/>
      <color theme="1"/>
      <name val="Calibri"/>
      <charset val="134"/>
    </font>
    <font>
      <u/>
      <sz val="11"/>
      <name val="Calibri"/>
      <charset val="134"/>
    </font>
    <font>
      <b/>
      <sz val="11"/>
      <color rgb="FF000000"/>
      <name val="Calibri"/>
      <charset val="134"/>
    </font>
    <font>
      <b/>
      <sz val="9"/>
      <name val="Arial"/>
    </font>
    <font>
      <sz val="9"/>
      <name val="Arial"/>
    </font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8"/>
      <color theme="3"/>
      <name val="Cambria"/>
      <family val="2"/>
      <scheme val="major"/>
    </font>
    <font>
      <sz val="9"/>
      <color rgb="FF000000"/>
      <name val="Segoe UI"/>
      <family val="1"/>
    </font>
  </fonts>
  <fills count="1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40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0" fontId="17" fillId="0" borderId="0"/>
    <xf numFmtId="9" fontId="40" fillId="0" borderId="0" applyFont="0" applyFill="0" applyBorder="0" applyAlignment="0" applyProtection="0"/>
    <xf numFmtId="0" fontId="17" fillId="15" borderId="47" applyNumberFormat="0" applyFont="0" applyAlignment="0" applyProtection="0"/>
    <xf numFmtId="43" fontId="17" fillId="0" borderId="0" applyFont="0" applyFill="0" applyBorder="0" applyAlignment="0" applyProtection="0"/>
    <xf numFmtId="0" fontId="44" fillId="0" borderId="0" applyNumberFormat="0" applyFill="0" applyBorder="0" applyAlignment="0" applyProtection="0"/>
  </cellStyleXfs>
  <cellXfs count="647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4" fillId="0" borderId="0" xfId="3" applyFont="1" applyAlignment="1" applyProtection="1">
      <alignment horizontal="center" vertical="center"/>
      <protection locked="0"/>
    </xf>
    <xf numFmtId="0" fontId="2" fillId="0" borderId="4" xfId="3" applyFont="1" applyBorder="1" applyAlignment="1" applyProtection="1">
      <alignment vertical="center"/>
      <protection locked="0"/>
    </xf>
    <xf numFmtId="164" fontId="2" fillId="0" borderId="4" xfId="1" applyNumberFormat="1" applyFont="1" applyBorder="1" applyAlignment="1" applyProtection="1">
      <alignment horizontal="center" vertical="center"/>
      <protection locked="0"/>
    </xf>
    <xf numFmtId="0" fontId="2" fillId="4" borderId="4" xfId="3" applyFont="1" applyFill="1" applyBorder="1" applyAlignment="1" applyProtection="1">
      <alignment vertical="center"/>
      <protection locked="0"/>
    </xf>
    <xf numFmtId="0" fontId="2" fillId="4" borderId="4" xfId="3" applyFont="1" applyFill="1" applyBorder="1" applyAlignment="1" applyProtection="1">
      <alignment horizontal="center" vertical="center"/>
      <protection locked="0"/>
    </xf>
    <xf numFmtId="0" fontId="4" fillId="0" borderId="4" xfId="3" applyFont="1" applyBorder="1" applyAlignment="1" applyProtection="1">
      <alignment horizontal="left" vertical="center"/>
      <protection locked="0"/>
    </xf>
    <xf numFmtId="165" fontId="4" fillId="0" borderId="4" xfId="1" applyNumberFormat="1" applyFont="1" applyBorder="1" applyAlignment="1" applyProtection="1">
      <alignment vertical="center"/>
      <protection locked="0"/>
    </xf>
    <xf numFmtId="0" fontId="2" fillId="2" borderId="4" xfId="3" applyFont="1" applyFill="1" applyBorder="1" applyAlignment="1" applyProtection="1">
      <alignment vertical="center"/>
      <protection locked="0"/>
    </xf>
    <xf numFmtId="165" fontId="2" fillId="2" borderId="4" xfId="1" applyNumberFormat="1" applyFont="1" applyFill="1" applyBorder="1" applyAlignment="1" applyProtection="1">
      <alignment vertical="center"/>
    </xf>
    <xf numFmtId="0" fontId="4" fillId="0" borderId="4" xfId="3" applyFont="1" applyBorder="1" applyAlignment="1" applyProtection="1">
      <alignment vertical="center"/>
      <protection locked="0"/>
    </xf>
    <xf numFmtId="0" fontId="2" fillId="5" borderId="4" xfId="3" applyFont="1" applyFill="1" applyBorder="1" applyAlignment="1" applyProtection="1">
      <alignment vertical="center"/>
      <protection locked="0"/>
    </xf>
    <xf numFmtId="165" fontId="2" fillId="5" borderId="4" xfId="1" applyNumberFormat="1" applyFont="1" applyFill="1" applyBorder="1" applyAlignment="1" applyProtection="1">
      <alignment vertical="center"/>
    </xf>
    <xf numFmtId="0" fontId="4" fillId="0" borderId="3" xfId="3" applyFont="1" applyBorder="1" applyAlignment="1" applyProtection="1">
      <alignment horizontal="left" vertical="center"/>
      <protection locked="0"/>
    </xf>
    <xf numFmtId="165" fontId="4" fillId="0" borderId="0" xfId="1" applyNumberFormat="1" applyFont="1" applyBorder="1" applyAlignment="1" applyProtection="1">
      <alignment vertical="center"/>
      <protection locked="0"/>
    </xf>
    <xf numFmtId="165" fontId="4" fillId="0" borderId="4" xfId="1" applyNumberFormat="1" applyFont="1" applyBorder="1" applyAlignment="1" applyProtection="1">
      <alignment horizontal="right" vertical="center"/>
      <protection locked="0"/>
    </xf>
    <xf numFmtId="165" fontId="2" fillId="4" borderId="4" xfId="1" applyNumberFormat="1" applyFont="1" applyFill="1" applyBorder="1" applyAlignment="1" applyProtection="1">
      <alignment vertical="center"/>
    </xf>
    <xf numFmtId="0" fontId="2" fillId="5" borderId="5" xfId="3" applyFont="1" applyFill="1" applyBorder="1" applyAlignment="1" applyProtection="1">
      <alignment vertical="center"/>
      <protection locked="0"/>
    </xf>
    <xf numFmtId="165" fontId="2" fillId="5" borderId="4" xfId="1" applyNumberFormat="1" applyFont="1" applyFill="1" applyBorder="1" applyAlignment="1" applyProtection="1">
      <alignment horizontal="center" vertical="center"/>
    </xf>
    <xf numFmtId="0" fontId="4" fillId="0" borderId="5" xfId="3" applyFont="1" applyBorder="1" applyAlignment="1" applyProtection="1">
      <alignment vertical="center"/>
      <protection locked="0"/>
    </xf>
    <xf numFmtId="0" fontId="4" fillId="0" borderId="0" xfId="3" applyFont="1" applyAlignment="1" applyProtection="1">
      <alignment vertical="center"/>
      <protection locked="0"/>
    </xf>
    <xf numFmtId="0" fontId="2" fillId="6" borderId="6" xfId="3" applyFont="1" applyFill="1" applyBorder="1" applyAlignment="1" applyProtection="1">
      <alignment vertical="center"/>
      <protection locked="0"/>
    </xf>
    <xf numFmtId="0" fontId="4" fillId="6" borderId="7" xfId="3" applyFont="1" applyFill="1" applyBorder="1" applyAlignment="1" applyProtection="1">
      <alignment vertical="center"/>
      <protection locked="0"/>
    </xf>
    <xf numFmtId="0" fontId="2" fillId="4" borderId="8" xfId="3" applyFont="1" applyFill="1" applyBorder="1" applyAlignment="1" applyProtection="1">
      <alignment vertical="center"/>
      <protection locked="0"/>
    </xf>
    <xf numFmtId="164" fontId="2" fillId="4" borderId="9" xfId="1" applyNumberFormat="1" applyFont="1" applyFill="1" applyBorder="1" applyAlignment="1" applyProtection="1">
      <alignment horizontal="center" vertical="center"/>
      <protection locked="0"/>
    </xf>
    <xf numFmtId="0" fontId="4" fillId="2" borderId="5" xfId="3" applyFont="1" applyFill="1" applyBorder="1" applyAlignment="1" applyProtection="1">
      <alignment vertical="center"/>
      <protection locked="0"/>
    </xf>
    <xf numFmtId="165" fontId="2" fillId="2" borderId="4" xfId="1" applyNumberFormat="1" applyFont="1" applyFill="1" applyBorder="1" applyAlignment="1" applyProtection="1">
      <alignment vertical="center"/>
      <protection locked="0"/>
    </xf>
    <xf numFmtId="0" fontId="2" fillId="4" borderId="5" xfId="3" applyFont="1" applyFill="1" applyBorder="1" applyAlignment="1" applyProtection="1">
      <alignment vertical="center"/>
      <protection locked="0"/>
    </xf>
    <xf numFmtId="0" fontId="4" fillId="0" borderId="3" xfId="3" applyFont="1" applyBorder="1" applyAlignment="1" applyProtection="1">
      <alignment vertical="center"/>
      <protection locked="0"/>
    </xf>
    <xf numFmtId="165" fontId="4" fillId="2" borderId="4" xfId="1" applyNumberFormat="1" applyFont="1" applyFill="1" applyBorder="1" applyAlignment="1" applyProtection="1">
      <alignment vertical="center"/>
      <protection locked="0"/>
    </xf>
    <xf numFmtId="0" fontId="4" fillId="4" borderId="5" xfId="3" applyFont="1" applyFill="1" applyBorder="1" applyAlignment="1" applyProtection="1">
      <alignment vertical="center"/>
      <protection locked="0"/>
    </xf>
    <xf numFmtId="165" fontId="4" fillId="4" borderId="4" xfId="3" applyNumberFormat="1" applyFont="1" applyFill="1" applyBorder="1" applyAlignment="1">
      <alignment vertical="center"/>
    </xf>
    <xf numFmtId="0" fontId="4" fillId="0" borderId="5" xfId="3" applyFont="1" applyBorder="1" applyAlignment="1" applyProtection="1">
      <alignment vertical="center" wrapText="1"/>
      <protection locked="0"/>
    </xf>
    <xf numFmtId="164" fontId="2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2" fillId="0" borderId="1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7" fillId="7" borderId="18" xfId="0" applyFont="1" applyFill="1" applyBorder="1" applyAlignment="1">
      <alignment vertical="center" wrapText="1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7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7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11" fillId="0" borderId="3" xfId="0" applyFont="1" applyBorder="1" applyAlignment="1">
      <alignment horizontal="right" vertical="center"/>
    </xf>
    <xf numFmtId="49" fontId="9" fillId="0" borderId="25" xfId="0" applyNumberFormat="1" applyFont="1" applyBorder="1" applyAlignment="1">
      <alignment horizontal="left" vertical="center"/>
    </xf>
    <xf numFmtId="0" fontId="11" fillId="0" borderId="2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64" fontId="9" fillId="0" borderId="14" xfId="0" applyNumberFormat="1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wrapText="1"/>
      <protection locked="0"/>
    </xf>
    <xf numFmtId="0" fontId="13" fillId="0" borderId="0" xfId="0" applyFont="1" applyAlignment="1" applyProtection="1">
      <alignment horizontal="right" wrapText="1"/>
      <protection locked="0"/>
    </xf>
    <xf numFmtId="0" fontId="13" fillId="0" borderId="10" xfId="0" applyFont="1" applyBorder="1" applyAlignment="1" applyProtection="1">
      <alignment horizontal="center" wrapText="1"/>
      <protection locked="0"/>
    </xf>
    <xf numFmtId="0" fontId="13" fillId="0" borderId="11" xfId="0" applyFont="1" applyBorder="1" applyAlignment="1" applyProtection="1">
      <alignment horizontal="center" wrapText="1"/>
      <protection locked="0"/>
    </xf>
    <xf numFmtId="0" fontId="13" fillId="0" borderId="11" xfId="0" applyFont="1" applyBorder="1" applyAlignment="1" applyProtection="1">
      <alignment horizontal="right" wrapText="1"/>
      <protection locked="0"/>
    </xf>
    <xf numFmtId="0" fontId="5" fillId="0" borderId="3" xfId="0" applyFont="1" applyBorder="1" applyAlignment="1" applyProtection="1">
      <alignment horizontal="right" wrapText="1"/>
      <protection locked="0"/>
    </xf>
    <xf numFmtId="0" fontId="13" fillId="0" borderId="0" xfId="0" applyFont="1" applyAlignment="1" applyProtection="1">
      <alignment horizontal="right" vertical="center" wrapText="1"/>
      <protection locked="0"/>
    </xf>
    <xf numFmtId="0" fontId="13" fillId="0" borderId="3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18" xfId="0" applyFont="1" applyBorder="1" applyAlignment="1" applyProtection="1">
      <alignment vertical="center" wrapText="1"/>
      <protection locked="0"/>
    </xf>
    <xf numFmtId="0" fontId="13" fillId="0" borderId="0" xfId="0" applyFont="1" applyAlignment="1" applyProtection="1">
      <alignment vertical="center" wrapText="1"/>
      <protection locked="0"/>
    </xf>
    <xf numFmtId="0" fontId="13" fillId="0" borderId="20" xfId="0" applyFont="1" applyBorder="1" applyAlignment="1">
      <alignment vertical="center" wrapText="1"/>
    </xf>
    <xf numFmtId="3" fontId="13" fillId="0" borderId="21" xfId="0" applyNumberFormat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wrapText="1"/>
      <protection locked="0"/>
    </xf>
    <xf numFmtId="0" fontId="13" fillId="9" borderId="0" xfId="0" applyFont="1" applyFill="1" applyAlignment="1" applyProtection="1">
      <alignment horizontal="center" vertical="center" wrapText="1"/>
      <protection locked="0"/>
    </xf>
    <xf numFmtId="0" fontId="13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3" fillId="0" borderId="13" xfId="0" applyNumberFormat="1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>
      <alignment vertical="center"/>
    </xf>
    <xf numFmtId="3" fontId="13" fillId="10" borderId="21" xfId="0" applyNumberFormat="1" applyFont="1" applyFill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3" fontId="13" fillId="0" borderId="0" xfId="0" applyNumberFormat="1" applyFont="1" applyAlignment="1" applyProtection="1">
      <alignment horizontal="center" vertical="center" wrapText="1"/>
      <protection locked="0"/>
    </xf>
    <xf numFmtId="0" fontId="13" fillId="0" borderId="10" xfId="0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3" fontId="13" fillId="9" borderId="2" xfId="0" applyNumberFormat="1" applyFont="1" applyFill="1" applyBorder="1" applyAlignment="1">
      <alignment horizontal="center" vertical="center"/>
    </xf>
    <xf numFmtId="0" fontId="13" fillId="0" borderId="1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>
      <alignment vertical="center" wrapText="1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wrapText="1"/>
      <protection locked="0"/>
    </xf>
    <xf numFmtId="0" fontId="13" fillId="0" borderId="4" xfId="0" applyFont="1" applyBorder="1" applyAlignment="1" applyProtection="1">
      <alignment horizontal="center" wrapText="1"/>
      <protection locked="0"/>
    </xf>
    <xf numFmtId="0" fontId="13" fillId="0" borderId="19" xfId="0" applyFont="1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right" wrapText="1"/>
      <protection locked="0"/>
    </xf>
    <xf numFmtId="0" fontId="13" fillId="0" borderId="3" xfId="0" applyFont="1" applyBorder="1" applyAlignment="1" applyProtection="1">
      <alignment horizontal="right" wrapText="1"/>
      <protection locked="0"/>
    </xf>
    <xf numFmtId="3" fontId="13" fillId="9" borderId="21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9" borderId="3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5" fillId="0" borderId="20" xfId="0" applyFont="1" applyBorder="1" applyAlignment="1">
      <alignment horizontal="center" vertical="center"/>
    </xf>
    <xf numFmtId="0" fontId="7" fillId="0" borderId="31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11" xfId="0" applyFont="1" applyBorder="1" applyAlignment="1" applyProtection="1">
      <alignment wrapText="1"/>
      <protection locked="0"/>
    </xf>
    <xf numFmtId="0" fontId="13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wrapText="1"/>
      <protection locked="0"/>
    </xf>
    <xf numFmtId="0" fontId="13" fillId="0" borderId="4" xfId="0" applyFont="1" applyBorder="1" applyAlignment="1" applyProtection="1">
      <alignment horizontal="right" wrapText="1"/>
      <protection locked="0"/>
    </xf>
    <xf numFmtId="0" fontId="5" fillId="9" borderId="4" xfId="0" applyFont="1" applyFill="1" applyBorder="1" applyAlignment="1">
      <alignment horizontal="center" vertical="center" wrapText="1"/>
    </xf>
    <xf numFmtId="0" fontId="13" fillId="0" borderId="34" xfId="0" applyFont="1" applyBorder="1" applyAlignment="1" applyProtection="1">
      <alignment horizontal="center" wrapText="1"/>
      <protection locked="0"/>
    </xf>
    <xf numFmtId="0" fontId="13" fillId="0" borderId="20" xfId="0" applyFont="1" applyBorder="1" applyAlignment="1" applyProtection="1">
      <alignment wrapText="1"/>
      <protection locked="0"/>
    </xf>
    <xf numFmtId="0" fontId="13" fillId="0" borderId="36" xfId="0" applyFont="1" applyBorder="1" applyAlignment="1" applyProtection="1">
      <alignment horizontal="center" wrapText="1"/>
      <protection locked="0"/>
    </xf>
    <xf numFmtId="0" fontId="13" fillId="0" borderId="36" xfId="0" applyFont="1" applyBorder="1" applyAlignment="1" applyProtection="1">
      <alignment horizontal="right" wrapText="1"/>
      <protection locked="0"/>
    </xf>
    <xf numFmtId="0" fontId="13" fillId="0" borderId="23" xfId="0" applyFont="1" applyBorder="1" applyAlignment="1" applyProtection="1">
      <alignment horizontal="center" wrapText="1"/>
      <protection locked="0"/>
    </xf>
    <xf numFmtId="0" fontId="5" fillId="9" borderId="23" xfId="0" applyFont="1" applyFill="1" applyBorder="1" applyAlignment="1">
      <alignment horizontal="center" wrapText="1"/>
    </xf>
    <xf numFmtId="0" fontId="13" fillId="0" borderId="36" xfId="0" applyFont="1" applyBorder="1" applyAlignment="1" applyProtection="1">
      <alignment wrapText="1"/>
      <protection locked="0"/>
    </xf>
    <xf numFmtId="0" fontId="13" fillId="0" borderId="21" xfId="0" applyFont="1" applyBorder="1" applyAlignment="1" applyProtection="1">
      <alignment wrapText="1"/>
      <protection locked="0"/>
    </xf>
    <xf numFmtId="0" fontId="13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right" vertical="center"/>
    </xf>
    <xf numFmtId="0" fontId="5" fillId="0" borderId="3" xfId="0" applyFont="1" applyBorder="1" applyAlignment="1" applyProtection="1">
      <alignment horizontal="right" vertical="center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164" fontId="13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3" fillId="0" borderId="0" xfId="0" applyNumberFormat="1" applyFont="1" applyAlignment="1">
      <alignment horizontal="righ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 wrapText="1"/>
    </xf>
    <xf numFmtId="0" fontId="15" fillId="8" borderId="3" xfId="0" applyFont="1" applyFill="1" applyBorder="1" applyAlignment="1">
      <alignment vertical="center" wrapText="1"/>
    </xf>
    <xf numFmtId="0" fontId="15" fillId="10" borderId="0" xfId="0" applyFont="1" applyFill="1" applyAlignment="1" applyProtection="1">
      <alignment horizontal="center" vertical="center"/>
      <protection locked="0"/>
    </xf>
    <xf numFmtId="0" fontId="15" fillId="8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10" fontId="15" fillId="11" borderId="0" xfId="4" applyNumberFormat="1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left" vertical="center"/>
    </xf>
    <xf numFmtId="0" fontId="15" fillId="10" borderId="36" xfId="0" applyFont="1" applyFill="1" applyBorder="1" applyAlignment="1">
      <alignment horizontal="center" vertical="center"/>
    </xf>
    <xf numFmtId="10" fontId="14" fillId="10" borderId="36" xfId="4" applyNumberFormat="1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 wrapText="1"/>
    </xf>
    <xf numFmtId="10" fontId="15" fillId="11" borderId="13" xfId="4" applyNumberFormat="1" applyFont="1" applyFill="1" applyBorder="1" applyAlignment="1">
      <alignment horizontal="center" vertical="center"/>
    </xf>
    <xf numFmtId="10" fontId="15" fillId="10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0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13" fillId="0" borderId="3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3" fontId="13" fillId="0" borderId="6" xfId="0" applyNumberFormat="1" applyFont="1" applyBorder="1" applyAlignment="1" applyProtection="1">
      <alignment horizontal="center" vertical="center"/>
      <protection locked="0"/>
    </xf>
    <xf numFmtId="3" fontId="13" fillId="0" borderId="14" xfId="0" applyNumberFormat="1" applyFont="1" applyBorder="1" applyAlignment="1" applyProtection="1">
      <alignment horizontal="center" vertical="center"/>
      <protection locked="0"/>
    </xf>
    <xf numFmtId="3" fontId="13" fillId="0" borderId="30" xfId="0" applyNumberFormat="1" applyFont="1" applyBorder="1" applyAlignment="1" applyProtection="1">
      <alignment horizontal="center" vertical="center"/>
      <protection locked="0"/>
    </xf>
    <xf numFmtId="3" fontId="7" fillId="0" borderId="0" xfId="0" applyNumberFormat="1" applyFont="1" applyAlignment="1" applyProtection="1">
      <alignment horizontal="right" vertical="center"/>
      <protection locked="0"/>
    </xf>
    <xf numFmtId="3" fontId="7" fillId="0" borderId="13" xfId="0" applyNumberFormat="1" applyFont="1" applyBorder="1" applyAlignment="1" applyProtection="1">
      <alignment horizontal="right" vertical="center"/>
      <protection locked="0"/>
    </xf>
    <xf numFmtId="0" fontId="13" fillId="0" borderId="39" xfId="0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40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right" vertical="center"/>
      <protection locked="0"/>
    </xf>
    <xf numFmtId="2" fontId="13" fillId="9" borderId="39" xfId="0" applyNumberFormat="1" applyFont="1" applyFill="1" applyBorder="1" applyAlignment="1">
      <alignment horizontal="center" vertical="center" wrapText="1"/>
    </xf>
    <xf numFmtId="2" fontId="13" fillId="9" borderId="25" xfId="0" applyNumberFormat="1" applyFont="1" applyFill="1" applyBorder="1" applyAlignment="1">
      <alignment horizontal="center" vertical="center" wrapText="1"/>
    </xf>
    <xf numFmtId="9" fontId="13" fillId="9" borderId="40" xfId="2" applyFont="1" applyFill="1" applyBorder="1" applyAlignment="1">
      <alignment horizontal="center" vertical="center" wrapText="1"/>
    </xf>
    <xf numFmtId="0" fontId="7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9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9" borderId="0" xfId="0" applyNumberFormat="1" applyFill="1" applyAlignment="1">
      <alignment horizontal="center" vertical="center"/>
    </xf>
    <xf numFmtId="3" fontId="0" fillId="10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0" borderId="21" xfId="0" applyNumberForma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7" fillId="12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9" borderId="26" xfId="0" applyNumberFormat="1" applyFill="1" applyBorder="1" applyAlignment="1">
      <alignment horizontal="center" vertical="center"/>
    </xf>
    <xf numFmtId="3" fontId="6" fillId="9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9" borderId="21" xfId="0" applyNumberForma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9" borderId="36" xfId="0" applyNumberFormat="1" applyFill="1" applyBorder="1" applyAlignment="1">
      <alignment horizontal="center" vertical="center"/>
    </xf>
    <xf numFmtId="3" fontId="0" fillId="9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8" fillId="0" borderId="0" xfId="0" applyFont="1"/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9" borderId="12" xfId="0" applyNumberFormat="1" applyFill="1" applyBorder="1" applyAlignment="1">
      <alignment horizontal="center" vertical="center"/>
    </xf>
    <xf numFmtId="10" fontId="0" fillId="9" borderId="13" xfId="0" applyNumberFormat="1" applyFill="1" applyBorder="1" applyAlignment="1">
      <alignment horizontal="center" vertical="center"/>
    </xf>
    <xf numFmtId="0" fontId="17" fillId="12" borderId="21" xfId="0" applyFont="1" applyFill="1" applyBorder="1" applyAlignment="1">
      <alignment horizontal="center" vertical="center" wrapText="1"/>
    </xf>
    <xf numFmtId="10" fontId="0" fillId="9" borderId="2" xfId="0" applyNumberFormat="1" applyFill="1" applyBorder="1" applyAlignment="1">
      <alignment horizontal="center" vertical="center"/>
    </xf>
    <xf numFmtId="0" fontId="7" fillId="0" borderId="21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vertical="center" wrapText="1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9" fillId="0" borderId="3" xfId="0" applyFont="1" applyBorder="1" applyAlignment="1" applyProtection="1">
      <alignment horizontal="right" vertical="center"/>
      <protection locked="0"/>
    </xf>
    <xf numFmtId="164" fontId="8" fillId="0" borderId="0" xfId="0" applyNumberFormat="1" applyFont="1" applyAlignment="1" applyProtection="1">
      <alignment horizontal="left" vertical="center"/>
      <protection locked="0"/>
    </xf>
    <xf numFmtId="0" fontId="15" fillId="0" borderId="32" xfId="0" applyFont="1" applyBorder="1" applyAlignment="1">
      <alignment horizontal="center"/>
    </xf>
    <xf numFmtId="0" fontId="15" fillId="10" borderId="13" xfId="0" applyFont="1" applyFill="1" applyBorder="1" applyAlignment="1">
      <alignment horizontal="center"/>
    </xf>
    <xf numFmtId="0" fontId="14" fillId="13" borderId="21" xfId="0" applyFont="1" applyFill="1" applyBorder="1" applyAlignment="1">
      <alignment horizontal="center"/>
    </xf>
    <xf numFmtId="0" fontId="8" fillId="0" borderId="3" xfId="0" applyFont="1" applyBorder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17" fillId="0" borderId="21" xfId="0" applyFont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/>
    </xf>
    <xf numFmtId="0" fontId="20" fillId="14" borderId="21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top"/>
    </xf>
    <xf numFmtId="0" fontId="17" fillId="0" borderId="0" xfId="0" applyFont="1" applyAlignment="1">
      <alignment vertical="center"/>
    </xf>
    <xf numFmtId="0" fontId="8" fillId="0" borderId="13" xfId="0" applyFont="1" applyBorder="1" applyAlignment="1">
      <alignment horizontal="center" vertical="center"/>
    </xf>
    <xf numFmtId="10" fontId="19" fillId="9" borderId="13" xfId="0" applyNumberFormat="1" applyFont="1" applyFill="1" applyBorder="1" applyAlignment="1" applyProtection="1">
      <alignment horizontal="center" vertical="center" wrapText="1"/>
      <protection locked="0"/>
    </xf>
    <xf numFmtId="10" fontId="19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17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3" xfId="0" applyFont="1" applyBorder="1" applyAlignment="1" applyProtection="1">
      <alignment vertical="center"/>
      <protection locked="0"/>
    </xf>
    <xf numFmtId="0" fontId="20" fillId="0" borderId="0" xfId="0" applyFont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horizontal="center" vertical="center"/>
      <protection locked="0"/>
    </xf>
    <xf numFmtId="0" fontId="23" fillId="8" borderId="3" xfId="0" applyFont="1" applyFill="1" applyBorder="1" applyAlignment="1">
      <alignment vertical="center"/>
    </xf>
    <xf numFmtId="0" fontId="23" fillId="8" borderId="2" xfId="0" applyFont="1" applyFill="1" applyBorder="1" applyAlignment="1">
      <alignment horizontal="center" vertical="center"/>
    </xf>
    <xf numFmtId="3" fontId="23" fillId="8" borderId="13" xfId="0" applyNumberFormat="1" applyFont="1" applyFill="1" applyBorder="1" applyAlignment="1" applyProtection="1">
      <alignment horizontal="center" vertical="center"/>
      <protection locked="0"/>
    </xf>
    <xf numFmtId="0" fontId="23" fillId="8" borderId="20" xfId="0" applyFont="1" applyFill="1" applyBorder="1" applyAlignment="1">
      <alignment vertical="center" wrapText="1"/>
    </xf>
    <xf numFmtId="3" fontId="23" fillId="9" borderId="21" xfId="0" applyNumberFormat="1" applyFont="1" applyFill="1" applyBorder="1" applyAlignment="1">
      <alignment horizontal="center" vertical="center"/>
    </xf>
    <xf numFmtId="0" fontId="19" fillId="0" borderId="0" xfId="0" applyFont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8" xfId="0" applyFont="1" applyBorder="1" applyAlignment="1" applyProtection="1">
      <alignment horizontal="center" vertical="center"/>
      <protection locked="0"/>
    </xf>
    <xf numFmtId="0" fontId="24" fillId="0" borderId="25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15" fillId="0" borderId="3" xfId="0" applyFont="1" applyBorder="1"/>
    <xf numFmtId="0" fontId="8" fillId="11" borderId="13" xfId="0" applyFont="1" applyFill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horizontal="left" vertical="center" wrapText="1"/>
      <protection locked="0"/>
    </xf>
    <xf numFmtId="0" fontId="19" fillId="9" borderId="36" xfId="0" applyFont="1" applyFill="1" applyBorder="1" applyAlignment="1">
      <alignment horizontal="center" vertical="center" wrapText="1"/>
    </xf>
    <xf numFmtId="0" fontId="19" fillId="9" borderId="21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justify" vertical="top"/>
      <protection locked="0"/>
    </xf>
    <xf numFmtId="0" fontId="17" fillId="8" borderId="0" xfId="0" applyFont="1" applyFill="1" applyAlignment="1" applyProtection="1">
      <alignment horizontal="center" vertical="center" wrapText="1"/>
      <protection locked="0"/>
    </xf>
    <xf numFmtId="3" fontId="8" fillId="14" borderId="13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/>
      <protection locked="0"/>
    </xf>
    <xf numFmtId="0" fontId="14" fillId="0" borderId="21" xfId="0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vertical="center"/>
      <protection locked="0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vertical="center"/>
      <protection locked="0"/>
    </xf>
    <xf numFmtId="3" fontId="15" fillId="0" borderId="13" xfId="0" applyNumberFormat="1" applyFont="1" applyBorder="1" applyAlignment="1">
      <alignment horizontal="center" vertical="center" wrapText="1"/>
    </xf>
    <xf numFmtId="0" fontId="15" fillId="0" borderId="42" xfId="0" applyFont="1" applyBorder="1" applyAlignment="1" applyProtection="1">
      <alignment vertical="center"/>
      <protection locked="0"/>
    </xf>
    <xf numFmtId="0" fontId="15" fillId="0" borderId="43" xfId="0" applyFont="1" applyBorder="1" applyAlignment="1" applyProtection="1">
      <alignment vertical="center"/>
      <protection locked="0"/>
    </xf>
    <xf numFmtId="0" fontId="15" fillId="0" borderId="44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left" vertical="center" wrapText="1"/>
      <protection locked="0"/>
    </xf>
    <xf numFmtId="0" fontId="15" fillId="0" borderId="36" xfId="0" applyFont="1" applyBorder="1" applyAlignment="1" applyProtection="1">
      <alignment vertical="center"/>
      <protection locked="0"/>
    </xf>
    <xf numFmtId="0" fontId="14" fillId="9" borderId="21" xfId="0" applyFont="1" applyFill="1" applyBorder="1" applyAlignment="1">
      <alignment horizontal="center" vertical="center" wrapText="1"/>
    </xf>
    <xf numFmtId="0" fontId="15" fillId="0" borderId="13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horizontal="right" vertical="center" wrapText="1"/>
      <protection locked="0"/>
    </xf>
    <xf numFmtId="0" fontId="25" fillId="0" borderId="0" xfId="0" applyFont="1" applyAlignment="1">
      <alignment horizontal="center" wrapText="1"/>
    </xf>
    <xf numFmtId="49" fontId="8" fillId="0" borderId="25" xfId="0" applyNumberFormat="1" applyFont="1" applyBorder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19" fillId="0" borderId="29" xfId="0" applyFont="1" applyBorder="1" applyAlignment="1" applyProtection="1">
      <alignment horizontal="center" vertical="center" wrapText="1"/>
      <protection locked="0"/>
    </xf>
    <xf numFmtId="3" fontId="19" fillId="9" borderId="13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vertical="center" wrapText="1"/>
      <protection locked="0"/>
    </xf>
    <xf numFmtId="3" fontId="19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19" fillId="9" borderId="36" xfId="0" applyNumberFormat="1" applyFont="1" applyFill="1" applyBorder="1" applyAlignment="1">
      <alignment horizontal="center" vertical="center" wrapText="1"/>
    </xf>
    <xf numFmtId="3" fontId="19" fillId="9" borderId="21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 applyProtection="1">
      <alignment vertical="center"/>
      <protection locked="0"/>
    </xf>
    <xf numFmtId="0" fontId="8" fillId="12" borderId="0" xfId="0" applyFont="1" applyFill="1" applyAlignment="1">
      <alignment horizontal="center" vertical="center" wrapText="1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8" fillId="0" borderId="25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8" fillId="10" borderId="13" xfId="0" applyFont="1" applyFill="1" applyBorder="1" applyAlignment="1" applyProtection="1">
      <alignment horizontal="center" vertical="center"/>
      <protection locked="0"/>
    </xf>
    <xf numFmtId="0" fontId="8" fillId="0" borderId="29" xfId="0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right" vertical="center"/>
      <protection locked="0"/>
    </xf>
    <xf numFmtId="0" fontId="8" fillId="0" borderId="25" xfId="0" applyFont="1" applyBorder="1" applyAlignment="1" applyProtection="1">
      <alignment horizontal="left" vertical="center"/>
      <protection locked="0"/>
    </xf>
    <xf numFmtId="164" fontId="8" fillId="0" borderId="0" xfId="0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19" fillId="9" borderId="0" xfId="0" applyFont="1" applyFill="1" applyAlignment="1">
      <alignment horizontal="center" vertical="center" wrapText="1"/>
    </xf>
    <xf numFmtId="0" fontId="8" fillId="12" borderId="26" xfId="0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8" borderId="0" xfId="0" applyFont="1" applyFill="1" applyAlignment="1" applyProtection="1">
      <alignment horizontal="center" vertical="center"/>
      <protection locked="0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/>
    </xf>
    <xf numFmtId="0" fontId="19" fillId="10" borderId="4" xfId="0" applyFont="1" applyFill="1" applyBorder="1" applyAlignment="1">
      <alignment horizontal="center" vertical="center" wrapText="1"/>
    </xf>
    <xf numFmtId="10" fontId="19" fillId="9" borderId="4" xfId="2" applyNumberFormat="1" applyFont="1" applyFill="1" applyBorder="1" applyAlignment="1">
      <alignment horizontal="center" vertical="center" wrapText="1"/>
    </xf>
    <xf numFmtId="3" fontId="19" fillId="10" borderId="4" xfId="0" applyNumberFormat="1" applyFont="1" applyFill="1" applyBorder="1" applyAlignment="1">
      <alignment horizontal="center" vertical="center" wrapText="1"/>
    </xf>
    <xf numFmtId="10" fontId="19" fillId="10" borderId="19" xfId="2" applyNumberFormat="1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3" fontId="19" fillId="10" borderId="23" xfId="0" applyNumberFormat="1" applyFont="1" applyFill="1" applyBorder="1" applyAlignment="1">
      <alignment horizontal="center" vertical="center" wrapText="1"/>
    </xf>
    <xf numFmtId="10" fontId="19" fillId="10" borderId="24" xfId="2" applyNumberFormat="1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vertical="center" wrapText="1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8" fillId="0" borderId="20" xfId="0" applyFont="1" applyBorder="1" applyAlignment="1" applyProtection="1">
      <alignment vertical="center"/>
      <protection locked="0"/>
    </xf>
    <xf numFmtId="0" fontId="15" fillId="0" borderId="0" xfId="0" applyFont="1"/>
    <xf numFmtId="0" fontId="8" fillId="0" borderId="1" xfId="0" applyFont="1" applyBorder="1" applyAlignment="1">
      <alignment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9" fillId="0" borderId="20" xfId="0" applyFont="1" applyBorder="1" applyAlignment="1">
      <alignment horizontal="center" vertical="center" wrapText="1"/>
    </xf>
    <xf numFmtId="0" fontId="19" fillId="14" borderId="36" xfId="0" applyFont="1" applyFill="1" applyBorder="1" applyAlignment="1">
      <alignment horizontal="center" vertical="center" wrapText="1"/>
    </xf>
    <xf numFmtId="0" fontId="28" fillId="6" borderId="4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19" fillId="14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20" xfId="0" applyFont="1" applyBorder="1"/>
    <xf numFmtId="0" fontId="15" fillId="0" borderId="36" xfId="0" applyFont="1" applyBorder="1"/>
    <xf numFmtId="0" fontId="29" fillId="0" borderId="0" xfId="0" applyFont="1" applyAlignment="1" applyProtection="1">
      <alignment vertical="center"/>
      <protection locked="0"/>
    </xf>
    <xf numFmtId="0" fontId="29" fillId="0" borderId="0" xfId="0" applyFont="1" applyProtection="1">
      <protection locked="0"/>
    </xf>
    <xf numFmtId="0" fontId="29" fillId="0" borderId="10" xfId="0" applyFont="1" applyBorder="1" applyProtection="1">
      <protection locked="0"/>
    </xf>
    <xf numFmtId="0" fontId="29" fillId="0" borderId="11" xfId="0" applyFont="1" applyBorder="1" applyProtection="1">
      <protection locked="0"/>
    </xf>
    <xf numFmtId="0" fontId="30" fillId="0" borderId="3" xfId="0" applyFont="1" applyBorder="1" applyAlignment="1" applyProtection="1">
      <alignment vertical="center" wrapText="1"/>
      <protection locked="0"/>
    </xf>
    <xf numFmtId="0" fontId="30" fillId="0" borderId="0" xfId="0" applyFont="1" applyAlignment="1" applyProtection="1">
      <alignment vertical="center" wrapText="1"/>
      <protection locked="0"/>
    </xf>
    <xf numFmtId="0" fontId="29" fillId="0" borderId="3" xfId="0" applyFont="1" applyBorder="1"/>
    <xf numFmtId="0" fontId="31" fillId="0" borderId="0" xfId="0" applyFont="1"/>
    <xf numFmtId="0" fontId="29" fillId="0" borderId="0" xfId="0" applyFont="1"/>
    <xf numFmtId="0" fontId="29" fillId="0" borderId="3" xfId="0" applyFont="1" applyBorder="1" applyAlignment="1">
      <alignment wrapText="1"/>
    </xf>
    <xf numFmtId="0" fontId="29" fillId="0" borderId="0" xfId="0" applyFont="1" applyAlignment="1">
      <alignment wrapText="1"/>
    </xf>
    <xf numFmtId="0" fontId="32" fillId="0" borderId="0" xfId="0" applyFont="1" applyAlignment="1">
      <alignment horizontal="center" vertical="center" wrapText="1"/>
    </xf>
    <xf numFmtId="0" fontId="29" fillId="0" borderId="3" xfId="0" applyFont="1" applyBorder="1" applyProtection="1">
      <protection locked="0"/>
    </xf>
    <xf numFmtId="0" fontId="34" fillId="0" borderId="3" xfId="0" applyFont="1" applyBorder="1" applyProtection="1">
      <protection locked="0"/>
    </xf>
    <xf numFmtId="0" fontId="29" fillId="0" borderId="20" xfId="0" applyFont="1" applyBorder="1" applyProtection="1">
      <protection locked="0"/>
    </xf>
    <xf numFmtId="0" fontId="29" fillId="0" borderId="36" xfId="0" applyFont="1" applyBorder="1" applyProtection="1">
      <protection locked="0"/>
    </xf>
    <xf numFmtId="0" fontId="30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horizontal="center" vertical="center" wrapText="1"/>
      <protection locked="0"/>
    </xf>
    <xf numFmtId="3" fontId="34" fillId="0" borderId="0" xfId="0" applyNumberFormat="1" applyFont="1" applyAlignment="1" applyProtection="1">
      <alignment vertical="center" wrapText="1"/>
      <protection locked="0"/>
    </xf>
    <xf numFmtId="0" fontId="29" fillId="0" borderId="12" xfId="0" applyFont="1" applyBorder="1" applyProtection="1">
      <protection locked="0"/>
    </xf>
    <xf numFmtId="0" fontId="30" fillId="0" borderId="13" xfId="0" applyFont="1" applyBorder="1" applyAlignment="1" applyProtection="1">
      <alignment vertical="center" wrapText="1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0" fontId="30" fillId="0" borderId="0" xfId="0" applyFont="1" applyProtection="1">
      <protection locked="0"/>
    </xf>
    <xf numFmtId="0" fontId="29" fillId="0" borderId="13" xfId="0" applyFont="1" applyBorder="1"/>
    <xf numFmtId="0" fontId="29" fillId="0" borderId="13" xfId="0" applyFont="1" applyBorder="1" applyAlignment="1">
      <alignment wrapText="1"/>
    </xf>
    <xf numFmtId="0" fontId="29" fillId="0" borderId="0" xfId="0" applyFont="1" applyAlignment="1" applyProtection="1">
      <alignment wrapText="1"/>
      <protection locked="0"/>
    </xf>
    <xf numFmtId="0" fontId="29" fillId="0" borderId="13" xfId="0" applyFont="1" applyBorder="1" applyProtection="1">
      <protection locked="0"/>
    </xf>
    <xf numFmtId="0" fontId="29" fillId="0" borderId="21" xfId="0" applyFont="1" applyBorder="1" applyProtection="1">
      <protection locked="0"/>
    </xf>
    <xf numFmtId="2" fontId="14" fillId="11" borderId="0" xfId="0" applyNumberFormat="1" applyFont="1" applyFill="1" applyAlignment="1">
      <alignment horizontal="center" vertical="center"/>
    </xf>
    <xf numFmtId="2" fontId="15" fillId="10" borderId="36" xfId="0" applyNumberFormat="1" applyFont="1" applyFill="1" applyBorder="1" applyAlignment="1">
      <alignment horizontal="center" vertical="center"/>
    </xf>
    <xf numFmtId="0" fontId="14" fillId="0" borderId="48" xfId="0" applyFont="1" applyBorder="1" applyAlignment="1" applyProtection="1">
      <alignment vertical="center"/>
      <protection locked="0"/>
    </xf>
    <xf numFmtId="0" fontId="20" fillId="0" borderId="4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1" fillId="0" borderId="3" xfId="0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horizontal="left" vertical="center"/>
    </xf>
    <xf numFmtId="1" fontId="20" fillId="14" borderId="21" xfId="0" applyNumberFormat="1" applyFont="1" applyFill="1" applyBorder="1" applyAlignment="1">
      <alignment horizontal="center" vertical="center" wrapText="1"/>
    </xf>
    <xf numFmtId="0" fontId="0" fillId="0" borderId="48" xfId="0" applyBorder="1"/>
    <xf numFmtId="0" fontId="43" fillId="0" borderId="48" xfId="0" applyFont="1" applyBorder="1" applyAlignment="1" applyProtection="1">
      <alignment horizontal="center"/>
      <protection locked="0"/>
    </xf>
    <xf numFmtId="166" fontId="43" fillId="0" borderId="48" xfId="6" applyNumberFormat="1" applyFont="1" applyBorder="1" applyAlignment="1" applyProtection="1">
      <alignment horizontal="center"/>
      <protection locked="0"/>
    </xf>
    <xf numFmtId="166" fontId="43" fillId="0" borderId="48" xfId="6" applyNumberFormat="1" applyFont="1" applyFill="1" applyBorder="1" applyAlignment="1" applyProtection="1">
      <alignment horizontal="center"/>
      <protection locked="0"/>
    </xf>
    <xf numFmtId="0" fontId="43" fillId="8" borderId="48" xfId="0" applyFont="1" applyFill="1" applyBorder="1" applyAlignment="1" applyProtection="1">
      <alignment horizontal="center" vertical="center"/>
      <protection locked="0"/>
    </xf>
    <xf numFmtId="166" fontId="43" fillId="8" borderId="48" xfId="0" applyNumberFormat="1" applyFont="1" applyFill="1" applyBorder="1" applyAlignment="1" applyProtection="1">
      <alignment horizontal="center" vertical="center"/>
      <protection locked="0"/>
    </xf>
    <xf numFmtId="0" fontId="13" fillId="0" borderId="48" xfId="0" applyFont="1" applyBorder="1" applyAlignment="1" applyProtection="1">
      <alignment horizontal="center" wrapText="1"/>
      <protection locked="0"/>
    </xf>
    <xf numFmtId="0" fontId="45" fillId="0" borderId="48" xfId="7" applyFont="1" applyBorder="1" applyAlignment="1">
      <alignment horizontal="left"/>
    </xf>
    <xf numFmtId="2" fontId="19" fillId="10" borderId="23" xfId="0" applyNumberFormat="1" applyFont="1" applyFill="1" applyBorder="1" applyAlignment="1">
      <alignment horizontal="center" vertical="center" wrapText="1"/>
    </xf>
    <xf numFmtId="4" fontId="8" fillId="10" borderId="4" xfId="0" applyNumberFormat="1" applyFont="1" applyFill="1" applyBorder="1" applyAlignment="1">
      <alignment horizontal="center" vertical="center" wrapText="1"/>
    </xf>
    <xf numFmtId="0" fontId="15" fillId="8" borderId="13" xfId="0" applyFont="1" applyFill="1" applyBorder="1" applyAlignment="1" applyProtection="1">
      <alignment horizontal="center" vertical="center"/>
      <protection locked="0"/>
    </xf>
    <xf numFmtId="2" fontId="8" fillId="10" borderId="4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 applyProtection="1">
      <alignment vertical="center"/>
      <protection locked="0"/>
    </xf>
    <xf numFmtId="0" fontId="29" fillId="0" borderId="3" xfId="0" applyFont="1" applyBorder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29" fillId="0" borderId="13" xfId="0" applyFont="1" applyBorder="1" applyAlignment="1" applyProtection="1">
      <alignment horizontal="center"/>
      <protection locked="0"/>
    </xf>
    <xf numFmtId="0" fontId="32" fillId="0" borderId="0" xfId="0" applyFont="1" applyAlignment="1">
      <alignment horizontal="center" vertical="center" wrapText="1"/>
    </xf>
    <xf numFmtId="0" fontId="31" fillId="0" borderId="3" xfId="0" applyFont="1" applyBorder="1" applyAlignment="1">
      <alignment horizontal="right"/>
    </xf>
    <xf numFmtId="0" fontId="31" fillId="0" borderId="0" xfId="0" applyFont="1" applyAlignment="1">
      <alignment horizontal="right"/>
    </xf>
    <xf numFmtId="0" fontId="29" fillId="0" borderId="25" xfId="0" applyFont="1" applyBorder="1" applyAlignment="1">
      <alignment horizontal="center"/>
    </xf>
    <xf numFmtId="49" fontId="29" fillId="0" borderId="25" xfId="0" applyNumberFormat="1" applyFont="1" applyBorder="1" applyAlignment="1">
      <alignment horizontal="center"/>
    </xf>
    <xf numFmtId="0" fontId="33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8" fillId="0" borderId="18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19" fillId="14" borderId="5" xfId="0" applyFont="1" applyFill="1" applyBorder="1" applyAlignment="1">
      <alignment horizontal="center" vertical="center" wrapText="1"/>
    </xf>
    <xf numFmtId="0" fontId="19" fillId="14" borderId="7" xfId="0" applyFont="1" applyFill="1" applyBorder="1" applyAlignment="1">
      <alignment horizontal="center" vertical="center" wrapText="1"/>
    </xf>
    <xf numFmtId="0" fontId="27" fillId="6" borderId="18" xfId="0" applyFont="1" applyFill="1" applyBorder="1" applyAlignment="1">
      <alignment horizontal="left" vertical="center" wrapText="1"/>
    </xf>
    <xf numFmtId="0" fontId="27" fillId="6" borderId="4" xfId="0" applyFont="1" applyFill="1" applyBorder="1" applyAlignment="1">
      <alignment horizontal="left" vertical="center" wrapText="1"/>
    </xf>
    <xf numFmtId="0" fontId="28" fillId="0" borderId="1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26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7" fillId="2" borderId="5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center" vertical="center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0" fontId="19" fillId="0" borderId="36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  <protection locked="0"/>
    </xf>
    <xf numFmtId="49" fontId="8" fillId="0" borderId="0" xfId="0" applyNumberFormat="1" applyFont="1" applyAlignment="1" applyProtection="1">
      <alignment horizontal="left" vertical="center"/>
      <protection locked="0"/>
    </xf>
    <xf numFmtId="164" fontId="8" fillId="0" borderId="0" xfId="0" applyNumberFormat="1" applyFont="1" applyAlignment="1" applyProtection="1">
      <alignment horizontal="left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vertical="center"/>
      <protection locked="0"/>
    </xf>
    <xf numFmtId="0" fontId="20" fillId="0" borderId="2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justify" vertical="top" wrapText="1"/>
      <protection locked="0"/>
    </xf>
    <xf numFmtId="0" fontId="8" fillId="0" borderId="0" xfId="0" applyFont="1" applyAlignment="1" applyProtection="1">
      <alignment horizontal="justify" vertical="top" wrapText="1"/>
      <protection locked="0"/>
    </xf>
    <xf numFmtId="0" fontId="8" fillId="0" borderId="13" xfId="0" applyFont="1" applyBorder="1" applyAlignment="1" applyProtection="1">
      <alignment horizontal="justify" vertical="top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26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3" fontId="8" fillId="8" borderId="3" xfId="0" applyNumberFormat="1" applyFont="1" applyFill="1" applyBorder="1" applyAlignment="1" applyProtection="1">
      <alignment horizontal="left" vertical="center" wrapText="1"/>
      <protection locked="0"/>
    </xf>
    <xf numFmtId="3" fontId="8" fillId="8" borderId="0" xfId="0" applyNumberFormat="1" applyFont="1" applyFill="1" applyAlignment="1" applyProtection="1">
      <alignment horizontal="left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8" fillId="8" borderId="0" xfId="0" applyFont="1" applyFill="1" applyAlignment="1">
      <alignment horizontal="center" vertical="top" wrapText="1"/>
    </xf>
    <xf numFmtId="0" fontId="8" fillId="8" borderId="36" xfId="0" applyFont="1" applyFill="1" applyBorder="1" applyAlignment="1">
      <alignment horizontal="center" vertical="top" wrapText="1"/>
    </xf>
    <xf numFmtId="0" fontId="17" fillId="8" borderId="3" xfId="0" applyFont="1" applyFill="1" applyBorder="1" applyAlignment="1" applyProtection="1">
      <alignment horizontal="center" vertical="center" wrapText="1"/>
      <protection locked="0"/>
    </xf>
    <xf numFmtId="0" fontId="17" fillId="8" borderId="0" xfId="0" applyFont="1" applyFill="1" applyAlignment="1" applyProtection="1">
      <alignment horizontal="center" vertical="center" wrapText="1"/>
      <protection locked="0"/>
    </xf>
    <xf numFmtId="0" fontId="17" fillId="8" borderId="20" xfId="0" applyFont="1" applyFill="1" applyBorder="1" applyAlignment="1" applyProtection="1">
      <alignment horizontal="center" vertical="center" wrapText="1"/>
      <protection locked="0"/>
    </xf>
    <xf numFmtId="0" fontId="17" fillId="8" borderId="36" xfId="0" applyFont="1" applyFill="1" applyBorder="1" applyAlignment="1" applyProtection="1">
      <alignment horizontal="center" vertical="center" wrapText="1"/>
      <protection locked="0"/>
    </xf>
    <xf numFmtId="3" fontId="19" fillId="8" borderId="20" xfId="0" applyNumberFormat="1" applyFont="1" applyFill="1" applyBorder="1" applyAlignment="1" applyProtection="1">
      <alignment horizontal="left" vertical="center" wrapText="1"/>
      <protection locked="0"/>
    </xf>
    <xf numFmtId="3" fontId="19" fillId="8" borderId="36" xfId="0" applyNumberFormat="1" applyFont="1" applyFill="1" applyBorder="1" applyAlignment="1" applyProtection="1">
      <alignment horizontal="left" vertical="center" wrapText="1"/>
      <protection locked="0"/>
    </xf>
    <xf numFmtId="0" fontId="19" fillId="8" borderId="1" xfId="0" applyFont="1" applyFill="1" applyBorder="1" applyAlignment="1" applyProtection="1">
      <alignment horizontal="center" vertical="center" wrapText="1"/>
      <protection locked="0"/>
    </xf>
    <xf numFmtId="0" fontId="19" fillId="8" borderId="26" xfId="0" applyFont="1" applyFill="1" applyBorder="1" applyAlignment="1" applyProtection="1">
      <alignment horizontal="center" vertical="center" wrapText="1"/>
      <protection locked="0"/>
    </xf>
    <xf numFmtId="0" fontId="19" fillId="8" borderId="2" xfId="0" applyFont="1" applyFill="1" applyBorder="1" applyAlignment="1" applyProtection="1">
      <alignment horizontal="center" vertical="center" wrapText="1"/>
      <protection locked="0"/>
    </xf>
    <xf numFmtId="0" fontId="8" fillId="8" borderId="13" xfId="0" applyFont="1" applyFill="1" applyBorder="1" applyAlignment="1">
      <alignment horizontal="center" vertical="top" wrapText="1"/>
    </xf>
    <xf numFmtId="0" fontId="8" fillId="8" borderId="21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justify" vertical="top"/>
      <protection locked="0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22" fillId="8" borderId="1" xfId="0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20" fillId="0" borderId="20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17" fillId="0" borderId="3" xfId="0" applyFont="1" applyBorder="1" applyAlignment="1">
      <alignment horizontal="justify" vertical="top" wrapText="1"/>
    </xf>
    <xf numFmtId="0" fontId="17" fillId="0" borderId="0" xfId="0" applyFont="1" applyAlignment="1">
      <alignment horizontal="justify" vertical="top" wrapText="1"/>
    </xf>
    <xf numFmtId="0" fontId="17" fillId="0" borderId="3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0" xfId="0" applyFont="1" applyAlignment="1">
      <alignment vertical="center"/>
    </xf>
    <xf numFmtId="49" fontId="8" fillId="0" borderId="0" xfId="0" applyNumberFormat="1" applyFont="1" applyAlignment="1" applyProtection="1">
      <alignment horizontal="left" vertical="center" wrapText="1"/>
      <protection locked="0"/>
    </xf>
    <xf numFmtId="0" fontId="14" fillId="0" borderId="1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9" borderId="35" xfId="0" applyNumberFormat="1" applyFill="1" applyBorder="1" applyAlignment="1">
      <alignment horizontal="center" vertical="center"/>
    </xf>
    <xf numFmtId="10" fontId="0" fillId="9" borderId="41" xfId="0" applyNumberForma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justify" vertical="top" wrapText="1"/>
      <protection locked="0"/>
    </xf>
    <xf numFmtId="0" fontId="14" fillId="8" borderId="1" xfId="0" applyFont="1" applyFill="1" applyBorder="1" applyAlignment="1">
      <alignment horizontal="center" vertical="center"/>
    </xf>
    <xf numFmtId="0" fontId="14" fillId="8" borderId="2" xfId="0" applyFont="1" applyFill="1" applyBorder="1" applyAlignment="1">
      <alignment horizontal="center" vertical="center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9" borderId="32" xfId="2" applyNumberFormat="1" applyFont="1" applyFill="1" applyBorder="1" applyAlignment="1">
      <alignment horizontal="center" vertical="center" wrapText="1"/>
    </xf>
    <xf numFmtId="10" fontId="0" fillId="9" borderId="40" xfId="2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" vertical="top" wrapText="1"/>
      <protection locked="0"/>
    </xf>
    <xf numFmtId="0" fontId="6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6" fillId="9" borderId="36" xfId="0" applyNumberFormat="1" applyFont="1" applyFill="1" applyBorder="1" applyAlignment="1">
      <alignment horizontal="center" vertical="center"/>
    </xf>
    <xf numFmtId="3" fontId="6" fillId="9" borderId="2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vertical="top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49" fontId="13" fillId="0" borderId="25" xfId="0" applyNumberFormat="1" applyFont="1" applyBorder="1" applyAlignment="1" applyProtection="1">
      <alignment horizontal="left" vertical="center"/>
      <protection locked="0"/>
    </xf>
    <xf numFmtId="0" fontId="13" fillId="0" borderId="25" xfId="0" applyFont="1" applyBorder="1" applyAlignment="1" applyProtection="1">
      <alignment horizontal="left" vertical="center"/>
      <protection locked="0"/>
    </xf>
    <xf numFmtId="164" fontId="13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5" fillId="2" borderId="26" xfId="0" applyFont="1" applyFill="1" applyBorder="1" applyAlignment="1" applyProtection="1">
      <alignment horizontal="center" wrapText="1"/>
      <protection locked="0"/>
    </xf>
    <xf numFmtId="0" fontId="5" fillId="2" borderId="2" xfId="0" applyFont="1" applyFill="1" applyBorder="1" applyAlignment="1" applyProtection="1">
      <alignment horizontal="center" wrapText="1"/>
      <protection locked="0"/>
    </xf>
    <xf numFmtId="49" fontId="13" fillId="0" borderId="25" xfId="0" applyNumberFormat="1" applyFont="1" applyBorder="1" applyAlignment="1" applyProtection="1">
      <alignment horizontal="left" vertical="center" wrapText="1"/>
      <protection locked="0"/>
    </xf>
    <xf numFmtId="0" fontId="13" fillId="0" borderId="25" xfId="0" applyFont="1" applyBorder="1" applyAlignment="1" applyProtection="1">
      <alignment horizontal="left" vertical="center" wrapText="1"/>
      <protection locked="0"/>
    </xf>
    <xf numFmtId="164" fontId="13" fillId="0" borderId="25" xfId="0" applyNumberFormat="1" applyFont="1" applyBorder="1" applyAlignment="1" applyProtection="1">
      <alignment horizontal="left" vertical="center" wrapText="1"/>
      <protection locked="0"/>
    </xf>
    <xf numFmtId="0" fontId="5" fillId="0" borderId="27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4" xfId="3" applyFont="1" applyFill="1" applyBorder="1" applyAlignment="1" applyProtection="1">
      <alignment horizontal="center" vertical="center"/>
      <protection locked="0"/>
    </xf>
    <xf numFmtId="49" fontId="2" fillId="0" borderId="4" xfId="3" applyNumberFormat="1" applyFont="1" applyBorder="1" applyAlignment="1" applyProtection="1">
      <alignment horizontal="center" vertical="center"/>
      <protection locked="0"/>
    </xf>
    <xf numFmtId="0" fontId="2" fillId="0" borderId="4" xfId="3" applyFont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164" fontId="3" fillId="0" borderId="4" xfId="3" applyNumberFormat="1" applyFont="1" applyBorder="1" applyAlignment="1" applyProtection="1">
      <alignment horizontal="center" vertical="center"/>
      <protection locked="0"/>
    </xf>
  </cellXfs>
  <cellStyles count="8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Título" xfId="7" builtinId="15"/>
    <cellStyle name="Vírgula" xfId="1" builtinId="3"/>
    <cellStyle name="Vírgula 3" xfId="6" xr:uid="{00000000-0005-0000-0000-000007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N23" sqref="N23"/>
    </sheetView>
  </sheetViews>
  <sheetFormatPr defaultColWidth="9.140625" defaultRowHeight="26.25"/>
  <cols>
    <col min="1" max="10" width="16.42578125" style="365" customWidth="1"/>
    <col min="11" max="11" width="20.28515625" style="365" customWidth="1"/>
    <col min="12" max="12" width="16.42578125" style="365" customWidth="1"/>
    <col min="13" max="13" width="17.5703125" style="365" customWidth="1"/>
    <col min="14" max="16384" width="9.140625" style="365"/>
  </cols>
  <sheetData>
    <row r="1" spans="1:17">
      <c r="A1" s="366"/>
      <c r="B1" s="367"/>
      <c r="C1" s="367"/>
      <c r="D1" s="367"/>
      <c r="E1" s="367"/>
      <c r="F1" s="367"/>
      <c r="G1" s="367"/>
      <c r="H1" s="367"/>
      <c r="I1" s="367"/>
      <c r="J1" s="367"/>
      <c r="K1" s="383"/>
    </row>
    <row r="2" spans="1:17" ht="22.5" customHeight="1">
      <c r="A2" s="368"/>
      <c r="B2" s="369"/>
      <c r="C2" s="369"/>
      <c r="D2" s="369"/>
      <c r="E2" s="369"/>
      <c r="F2" s="369"/>
      <c r="G2" s="369"/>
      <c r="H2" s="369"/>
      <c r="I2" s="369"/>
      <c r="J2" s="369"/>
      <c r="K2" s="384"/>
      <c r="L2" s="369"/>
      <c r="M2" s="369"/>
      <c r="N2" s="369"/>
      <c r="O2" s="385"/>
      <c r="P2" s="386"/>
      <c r="Q2" s="386"/>
    </row>
    <row r="3" spans="1:17" ht="31.5">
      <c r="A3" s="417" t="s">
        <v>0</v>
      </c>
      <c r="B3" s="418"/>
      <c r="C3" s="418"/>
      <c r="D3" s="419" t="s">
        <v>1</v>
      </c>
      <c r="E3" s="419"/>
      <c r="F3" s="419"/>
      <c r="G3" s="419"/>
      <c r="H3" s="419"/>
      <c r="I3" s="419"/>
      <c r="J3" s="419"/>
      <c r="K3" s="387"/>
    </row>
    <row r="4" spans="1:17" ht="22.5" customHeight="1">
      <c r="A4" s="370"/>
      <c r="B4" s="371"/>
      <c r="C4" s="371"/>
      <c r="D4" s="371"/>
      <c r="E4" s="371"/>
      <c r="F4" s="371"/>
      <c r="G4" s="371"/>
      <c r="H4" s="371"/>
      <c r="I4" s="371"/>
      <c r="J4" s="371"/>
      <c r="K4" s="387"/>
    </row>
    <row r="5" spans="1:17" ht="31.5">
      <c r="A5" s="417" t="s">
        <v>2</v>
      </c>
      <c r="B5" s="418"/>
      <c r="C5" s="418"/>
      <c r="D5" s="420" t="s">
        <v>3</v>
      </c>
      <c r="E5" s="419"/>
      <c r="F5" s="419"/>
      <c r="G5" s="419"/>
      <c r="H5" s="419"/>
      <c r="I5" s="419"/>
      <c r="J5" s="419"/>
      <c r="K5" s="387"/>
    </row>
    <row r="6" spans="1:17" ht="22.5" customHeight="1">
      <c r="A6" s="370"/>
      <c r="B6" s="372"/>
      <c r="C6" s="372"/>
      <c r="D6" s="372"/>
      <c r="E6" s="372"/>
      <c r="F6" s="372"/>
      <c r="G6" s="372"/>
      <c r="H6" s="372"/>
      <c r="I6" s="372"/>
      <c r="J6" s="372"/>
      <c r="K6" s="387"/>
    </row>
    <row r="7" spans="1:17" ht="22.5" customHeight="1">
      <c r="A7" s="370"/>
      <c r="B7" s="372"/>
      <c r="C7" s="372"/>
      <c r="D7" s="372"/>
      <c r="E7" s="372"/>
      <c r="F7" s="372"/>
      <c r="G7" s="372"/>
      <c r="H7" s="372"/>
      <c r="I7" s="372"/>
      <c r="J7" s="372"/>
      <c r="K7" s="387"/>
    </row>
    <row r="8" spans="1:17" ht="22.5" customHeight="1">
      <c r="A8" s="373"/>
      <c r="B8" s="374"/>
      <c r="C8" s="374"/>
      <c r="D8" s="374"/>
      <c r="E8" s="374"/>
      <c r="F8" s="374"/>
      <c r="G8" s="374"/>
      <c r="H8" s="374"/>
      <c r="I8" s="374"/>
      <c r="J8" s="374"/>
      <c r="K8" s="388"/>
      <c r="L8" s="389"/>
      <c r="M8" s="389"/>
      <c r="N8" s="389"/>
      <c r="O8" s="389"/>
      <c r="P8" s="389"/>
      <c r="Q8" s="389"/>
    </row>
    <row r="9" spans="1:17" ht="22.5" customHeight="1">
      <c r="A9" s="370"/>
      <c r="B9" s="372"/>
      <c r="C9" s="372"/>
      <c r="D9" s="372"/>
      <c r="E9" s="372"/>
      <c r="F9" s="372"/>
      <c r="G9" s="372"/>
      <c r="H9" s="372"/>
      <c r="I9" s="372"/>
      <c r="J9" s="372"/>
      <c r="K9" s="387"/>
    </row>
    <row r="10" spans="1:17" ht="22.5" customHeight="1">
      <c r="A10" s="370"/>
      <c r="B10" s="372"/>
      <c r="C10" s="372"/>
      <c r="D10" s="372"/>
      <c r="E10" s="372"/>
      <c r="F10" s="372"/>
      <c r="G10" s="372"/>
      <c r="H10" s="372"/>
      <c r="I10" s="372"/>
      <c r="J10" s="372"/>
      <c r="K10" s="387"/>
    </row>
    <row r="11" spans="1:17" ht="22.5" customHeight="1">
      <c r="A11" s="370"/>
      <c r="B11" s="372"/>
      <c r="C11" s="372"/>
      <c r="D11" s="372"/>
      <c r="E11" s="372"/>
      <c r="F11" s="372"/>
      <c r="G11" s="372"/>
      <c r="H11" s="372"/>
      <c r="I11" s="372"/>
      <c r="J11" s="372"/>
      <c r="K11" s="387"/>
    </row>
    <row r="12" spans="1:17" ht="22.5" customHeight="1">
      <c r="A12" s="370"/>
      <c r="B12" s="372"/>
      <c r="C12" s="372"/>
      <c r="D12" s="372"/>
      <c r="E12" s="372"/>
      <c r="F12" s="372"/>
      <c r="G12" s="372"/>
      <c r="H12" s="372"/>
      <c r="I12" s="372"/>
      <c r="J12" s="372"/>
      <c r="K12" s="387"/>
    </row>
    <row r="13" spans="1:17" ht="22.5" customHeight="1">
      <c r="A13" s="370"/>
      <c r="B13" s="416" t="s">
        <v>4</v>
      </c>
      <c r="C13" s="416"/>
      <c r="D13" s="416"/>
      <c r="E13" s="416"/>
      <c r="F13" s="416"/>
      <c r="G13" s="416"/>
      <c r="H13" s="416"/>
      <c r="I13" s="416"/>
      <c r="J13" s="416"/>
      <c r="K13" s="387"/>
    </row>
    <row r="14" spans="1:17" ht="22.5" customHeight="1">
      <c r="A14" s="370"/>
      <c r="B14" s="416"/>
      <c r="C14" s="416"/>
      <c r="D14" s="416"/>
      <c r="E14" s="416"/>
      <c r="F14" s="416"/>
      <c r="G14" s="416"/>
      <c r="H14" s="416"/>
      <c r="I14" s="416"/>
      <c r="J14" s="416"/>
      <c r="K14" s="387"/>
    </row>
    <row r="15" spans="1:17" ht="22.5" customHeight="1">
      <c r="A15" s="370"/>
      <c r="B15" s="416"/>
      <c r="C15" s="416"/>
      <c r="D15" s="416"/>
      <c r="E15" s="416"/>
      <c r="F15" s="416"/>
      <c r="G15" s="416"/>
      <c r="H15" s="416"/>
      <c r="I15" s="416"/>
      <c r="J15" s="416"/>
      <c r="K15" s="387"/>
    </row>
    <row r="16" spans="1:17" ht="22.5" customHeight="1">
      <c r="A16" s="370"/>
      <c r="B16" s="416"/>
      <c r="C16" s="416"/>
      <c r="D16" s="416"/>
      <c r="E16" s="416"/>
      <c r="F16" s="416"/>
      <c r="G16" s="416"/>
      <c r="H16" s="416"/>
      <c r="I16" s="416"/>
      <c r="J16" s="416"/>
      <c r="K16" s="387"/>
    </row>
    <row r="17" spans="1:11" ht="22.5" customHeight="1">
      <c r="A17" s="370"/>
      <c r="B17" s="416"/>
      <c r="C17" s="416"/>
      <c r="D17" s="416"/>
      <c r="E17" s="416"/>
      <c r="F17" s="416"/>
      <c r="G17" s="416"/>
      <c r="H17" s="416"/>
      <c r="I17" s="416"/>
      <c r="J17" s="416"/>
      <c r="K17" s="387"/>
    </row>
    <row r="18" spans="1:11" ht="22.5" customHeight="1">
      <c r="A18" s="370"/>
      <c r="B18" s="375"/>
      <c r="C18" s="375"/>
      <c r="D18" s="375"/>
      <c r="E18" s="375"/>
      <c r="F18" s="375"/>
      <c r="G18" s="375"/>
      <c r="H18" s="375"/>
      <c r="I18" s="375"/>
      <c r="J18" s="375"/>
      <c r="K18" s="387"/>
    </row>
    <row r="19" spans="1:11" ht="22.5" customHeight="1">
      <c r="A19" s="370"/>
      <c r="B19" s="375"/>
      <c r="C19" s="375"/>
      <c r="D19" s="375"/>
      <c r="E19" s="375"/>
      <c r="F19" s="375"/>
      <c r="G19" s="375"/>
      <c r="H19" s="375"/>
      <c r="I19" s="375"/>
      <c r="J19" s="375"/>
      <c r="K19" s="387"/>
    </row>
    <row r="20" spans="1:11" ht="22.5" customHeight="1">
      <c r="A20" s="376"/>
      <c r="K20" s="390"/>
    </row>
    <row r="21" spans="1:11">
      <c r="A21" s="421" t="s">
        <v>912</v>
      </c>
      <c r="B21" s="422"/>
      <c r="C21" s="422"/>
      <c r="D21" s="422"/>
      <c r="E21" s="422"/>
      <c r="F21" s="422"/>
      <c r="G21" s="422"/>
      <c r="H21" s="422"/>
      <c r="I21" s="422"/>
      <c r="J21" s="422"/>
      <c r="K21" s="423"/>
    </row>
    <row r="22" spans="1:11" ht="22.5" customHeight="1">
      <c r="A22" s="376"/>
      <c r="K22" s="390"/>
    </row>
    <row r="23" spans="1:11" ht="22.5" customHeight="1">
      <c r="A23" s="376"/>
      <c r="K23" s="390"/>
    </row>
    <row r="24" spans="1:11" ht="22.5" customHeight="1">
      <c r="A24" s="376"/>
      <c r="K24" s="390"/>
    </row>
    <row r="25" spans="1:11" ht="22.5" customHeight="1">
      <c r="A25" s="376"/>
      <c r="K25" s="390"/>
    </row>
    <row r="26" spans="1:11" ht="22.5" customHeight="1">
      <c r="A26" s="377"/>
      <c r="K26" s="390"/>
    </row>
    <row r="27" spans="1:11" ht="22.5" customHeight="1">
      <c r="A27" s="376"/>
      <c r="K27" s="390"/>
    </row>
    <row r="28" spans="1:11" ht="22.5" customHeight="1">
      <c r="A28" s="376"/>
      <c r="K28" s="390"/>
    </row>
    <row r="29" spans="1:11">
      <c r="A29" s="413" t="s">
        <v>913</v>
      </c>
      <c r="B29" s="414"/>
      <c r="C29" s="414"/>
      <c r="D29" s="414"/>
      <c r="E29" s="414"/>
      <c r="F29" s="414"/>
      <c r="G29" s="414"/>
      <c r="H29" s="414"/>
      <c r="I29" s="414"/>
      <c r="J29" s="414"/>
      <c r="K29" s="415"/>
    </row>
    <row r="30" spans="1:11" ht="22.5" customHeight="1">
      <c r="A30" s="378"/>
      <c r="B30" s="379"/>
      <c r="C30" s="379"/>
      <c r="D30" s="379"/>
      <c r="E30" s="379"/>
      <c r="F30" s="379"/>
      <c r="G30" s="379"/>
      <c r="H30" s="379"/>
      <c r="I30" s="379"/>
      <c r="J30" s="379"/>
      <c r="K30" s="391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64" customFormat="1" ht="22.5" customHeight="1"/>
    <row r="45" spans="1:1" ht="22.5" customHeight="1">
      <c r="A45" s="380"/>
    </row>
    <row r="46" spans="1:1" ht="22.5" customHeight="1">
      <c r="A46" s="381"/>
    </row>
    <row r="47" spans="1:1" ht="22.5" customHeight="1">
      <c r="A47" s="382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BreakPreview" zoomScale="90" zoomScaleNormal="100" workbookViewId="0">
      <selection activeCell="B5" sqref="B5"/>
    </sheetView>
  </sheetViews>
  <sheetFormatPr defaultColWidth="9.140625" defaultRowHeight="15"/>
  <cols>
    <col min="1" max="1" width="28.42578125" style="349" customWidth="1"/>
    <col min="2" max="5" width="15.42578125" style="349" customWidth="1"/>
    <col min="6" max="16384" width="9.140625" style="349"/>
  </cols>
  <sheetData>
    <row r="1" spans="1:6" ht="21.95" customHeight="1">
      <c r="A1" s="432" t="s">
        <v>5</v>
      </c>
      <c r="B1" s="433"/>
      <c r="C1" s="433"/>
      <c r="D1" s="433"/>
      <c r="E1" s="433"/>
      <c r="F1" s="433"/>
    </row>
    <row r="2" spans="1:6">
      <c r="A2" s="236"/>
      <c r="B2" s="233"/>
      <c r="C2" s="233"/>
      <c r="D2" s="233"/>
      <c r="E2" s="233"/>
      <c r="F2" s="233"/>
    </row>
    <row r="3" spans="1:6">
      <c r="A3" s="237" t="s">
        <v>6</v>
      </c>
      <c r="B3" s="295" t="s">
        <v>3</v>
      </c>
      <c r="C3" s="295"/>
      <c r="D3" s="295"/>
      <c r="E3" s="296"/>
      <c r="F3" s="296"/>
    </row>
    <row r="4" spans="1:6">
      <c r="A4" s="237" t="s">
        <v>7</v>
      </c>
      <c r="B4" s="321">
        <v>46054</v>
      </c>
      <c r="C4" s="296"/>
      <c r="D4" s="296"/>
      <c r="E4" s="296"/>
      <c r="F4" s="296"/>
    </row>
    <row r="5" spans="1:6">
      <c r="A5" s="271"/>
      <c r="C5" s="233"/>
      <c r="D5" s="233"/>
      <c r="E5" s="233"/>
      <c r="F5" s="233"/>
    </row>
    <row r="6" spans="1:6">
      <c r="A6" s="434" t="s">
        <v>8</v>
      </c>
      <c r="B6" s="435"/>
      <c r="C6" s="435"/>
      <c r="D6" s="435"/>
      <c r="E6" s="436"/>
    </row>
    <row r="7" spans="1:6" ht="27" customHeight="1">
      <c r="A7" s="350" t="s">
        <v>9</v>
      </c>
      <c r="B7" s="351" t="s">
        <v>10</v>
      </c>
      <c r="C7" s="351" t="s">
        <v>11</v>
      </c>
      <c r="D7" s="351" t="s">
        <v>12</v>
      </c>
      <c r="E7" s="352" t="s">
        <v>13</v>
      </c>
    </row>
    <row r="8" spans="1:6" ht="21" customHeight="1">
      <c r="A8" s="353" t="str">
        <f>Assistencial!A8</f>
        <v>1. Clínica Cirúrgica</v>
      </c>
      <c r="B8" s="252">
        <v>35</v>
      </c>
      <c r="C8" s="252">
        <v>0</v>
      </c>
      <c r="D8" s="252">
        <v>0</v>
      </c>
      <c r="E8" s="354">
        <v>0</v>
      </c>
    </row>
    <row r="9" spans="1:6" ht="21" customHeight="1">
      <c r="A9" s="353" t="str">
        <f>Assistencial!A9</f>
        <v>2. Clínica Médica</v>
      </c>
      <c r="B9" s="252">
        <v>34</v>
      </c>
      <c r="C9" s="252">
        <v>0</v>
      </c>
      <c r="D9" s="252">
        <v>0</v>
      </c>
      <c r="E9" s="354">
        <v>0</v>
      </c>
    </row>
    <row r="10" spans="1:6" ht="21" customHeight="1">
      <c r="A10" s="353" t="str">
        <f>Assistencial!A10</f>
        <v>3. Oncologia Clínica</v>
      </c>
      <c r="B10" s="252">
        <v>0</v>
      </c>
      <c r="C10" s="252">
        <v>0</v>
      </c>
      <c r="D10" s="252">
        <v>0</v>
      </c>
      <c r="E10" s="354">
        <v>0</v>
      </c>
    </row>
    <row r="11" spans="1:6" ht="21" customHeight="1">
      <c r="A11" s="353" t="str">
        <f>Assistencial!A11</f>
        <v>4. Oncologia Cirúrgica</v>
      </c>
      <c r="B11" s="252">
        <v>0</v>
      </c>
      <c r="C11" s="252">
        <v>0</v>
      </c>
      <c r="D11" s="252">
        <v>0</v>
      </c>
      <c r="E11" s="354">
        <v>0</v>
      </c>
    </row>
    <row r="12" spans="1:6" ht="21" customHeight="1">
      <c r="A12" s="353" t="str">
        <f>Assistencial!A12</f>
        <v>5. Clínica Gineco/Obstétrica</v>
      </c>
      <c r="B12" s="252">
        <v>7</v>
      </c>
      <c r="C12" s="252">
        <v>0</v>
      </c>
      <c r="D12" s="252">
        <v>0</v>
      </c>
      <c r="E12" s="354">
        <v>0</v>
      </c>
    </row>
    <row r="13" spans="1:6" ht="21" customHeight="1">
      <c r="A13" s="353" t="str">
        <f>Assistencial!A13</f>
        <v>6. Clínica Pediátrica</v>
      </c>
      <c r="B13" s="234">
        <v>6</v>
      </c>
      <c r="C13" s="234">
        <v>0</v>
      </c>
      <c r="D13" s="234">
        <v>0</v>
      </c>
      <c r="E13" s="259">
        <v>0</v>
      </c>
    </row>
    <row r="14" spans="1:6">
      <c r="A14" s="353" t="str">
        <f>Assistencial!A14</f>
        <v>7. UTI Adulto</v>
      </c>
      <c r="B14" s="234">
        <v>10</v>
      </c>
      <c r="C14" s="234">
        <v>0</v>
      </c>
      <c r="D14" s="234">
        <v>0</v>
      </c>
      <c r="E14" s="259">
        <v>0</v>
      </c>
    </row>
    <row r="15" spans="1:6">
      <c r="A15" s="355" t="s">
        <v>14</v>
      </c>
      <c r="B15" s="356">
        <f>SUM(B8:B14)</f>
        <v>92</v>
      </c>
      <c r="C15" s="356">
        <f>SUM(C8:C14)</f>
        <v>0</v>
      </c>
      <c r="D15" s="356">
        <f>SUM(D8:D14)</f>
        <v>0</v>
      </c>
      <c r="E15" s="356">
        <f>SUM(E8:E14)</f>
        <v>0</v>
      </c>
    </row>
    <row r="16" spans="1:6">
      <c r="A16" s="271"/>
    </row>
    <row r="17" spans="1:3">
      <c r="A17" s="271"/>
    </row>
    <row r="18" spans="1:3">
      <c r="A18" s="437" t="s">
        <v>15</v>
      </c>
      <c r="B18" s="438"/>
      <c r="C18" s="439"/>
    </row>
    <row r="19" spans="1:3">
      <c r="A19" s="428" t="s">
        <v>16</v>
      </c>
      <c r="B19" s="429"/>
      <c r="C19" s="357"/>
    </row>
    <row r="20" spans="1:3">
      <c r="A20" s="430" t="s">
        <v>17</v>
      </c>
      <c r="B20" s="431"/>
      <c r="C20" s="358">
        <v>10</v>
      </c>
    </row>
    <row r="21" spans="1:3">
      <c r="A21" s="428" t="s">
        <v>18</v>
      </c>
      <c r="B21" s="429"/>
      <c r="C21" s="357"/>
    </row>
    <row r="22" spans="1:3">
      <c r="A22" s="430" t="s">
        <v>19</v>
      </c>
      <c r="B22" s="431"/>
      <c r="C22" s="358">
        <v>1</v>
      </c>
    </row>
    <row r="23" spans="1:3">
      <c r="A23" s="424" t="s">
        <v>20</v>
      </c>
      <c r="B23" s="425"/>
      <c r="C23" s="358">
        <v>17</v>
      </c>
    </row>
    <row r="24" spans="1:3">
      <c r="A24" s="424" t="s">
        <v>21</v>
      </c>
      <c r="B24" s="425"/>
      <c r="C24" s="358">
        <v>1</v>
      </c>
    </row>
    <row r="25" spans="1:3">
      <c r="A25" s="424" t="s">
        <v>22</v>
      </c>
      <c r="B25" s="425"/>
      <c r="C25" s="358">
        <v>2</v>
      </c>
    </row>
    <row r="26" spans="1:3">
      <c r="A26" s="424" t="s">
        <v>23</v>
      </c>
      <c r="B26" s="425"/>
      <c r="C26" s="358">
        <v>2</v>
      </c>
    </row>
    <row r="27" spans="1:3">
      <c r="A27" s="424" t="s">
        <v>24</v>
      </c>
      <c r="B27" s="425"/>
      <c r="C27" s="358">
        <v>1</v>
      </c>
    </row>
    <row r="28" spans="1:3">
      <c r="A28" s="424" t="s">
        <v>25</v>
      </c>
      <c r="B28" s="425"/>
      <c r="C28" s="358">
        <v>10</v>
      </c>
    </row>
    <row r="29" spans="1:3">
      <c r="A29" s="424" t="s">
        <v>26</v>
      </c>
      <c r="B29" s="425"/>
      <c r="C29" s="358">
        <v>1</v>
      </c>
    </row>
    <row r="30" spans="1:3">
      <c r="A30" s="428" t="s">
        <v>27</v>
      </c>
      <c r="B30" s="429"/>
      <c r="C30" s="357"/>
    </row>
    <row r="31" spans="1:3">
      <c r="A31" s="424" t="s">
        <v>28</v>
      </c>
      <c r="B31" s="425"/>
      <c r="C31" s="358">
        <v>2</v>
      </c>
    </row>
    <row r="32" spans="1:3">
      <c r="A32" s="424" t="s">
        <v>29</v>
      </c>
      <c r="B32" s="425"/>
      <c r="C32" s="358">
        <v>20</v>
      </c>
    </row>
    <row r="33" spans="1:6">
      <c r="A33" s="424" t="s">
        <v>30</v>
      </c>
      <c r="B33" s="425"/>
      <c r="C33" s="358">
        <v>3</v>
      </c>
    </row>
    <row r="34" spans="1:6">
      <c r="A34" s="424" t="s">
        <v>31</v>
      </c>
      <c r="B34" s="425"/>
      <c r="C34" s="358">
        <v>2</v>
      </c>
    </row>
    <row r="35" spans="1:6">
      <c r="A35" s="424" t="s">
        <v>32</v>
      </c>
      <c r="B35" s="425"/>
      <c r="C35" s="358">
        <v>2</v>
      </c>
    </row>
    <row r="36" spans="1:6">
      <c r="A36" s="424" t="s">
        <v>33</v>
      </c>
      <c r="B36" s="425"/>
      <c r="C36" s="358">
        <v>5</v>
      </c>
    </row>
    <row r="37" spans="1:6">
      <c r="A37" s="428" t="s">
        <v>34</v>
      </c>
      <c r="B37" s="429"/>
      <c r="C37" s="357"/>
    </row>
    <row r="38" spans="1:6">
      <c r="A38" s="424" t="s">
        <v>35</v>
      </c>
      <c r="B38" s="425"/>
      <c r="C38" s="359">
        <v>5</v>
      </c>
    </row>
    <row r="39" spans="1:6">
      <c r="A39" s="424" t="s">
        <v>36</v>
      </c>
      <c r="B39" s="425"/>
      <c r="C39" s="359">
        <v>2</v>
      </c>
    </row>
    <row r="40" spans="1:6">
      <c r="A40" s="428" t="s">
        <v>37</v>
      </c>
      <c r="B40" s="429"/>
      <c r="C40" s="357"/>
    </row>
    <row r="41" spans="1:6">
      <c r="A41" s="424" t="s">
        <v>38</v>
      </c>
      <c r="B41" s="425"/>
      <c r="C41" s="359">
        <v>6</v>
      </c>
    </row>
    <row r="42" spans="1:6">
      <c r="A42" s="426" t="s">
        <v>39</v>
      </c>
      <c r="B42" s="427"/>
      <c r="C42" s="360">
        <f>SUM(C19:C41)</f>
        <v>92</v>
      </c>
    </row>
    <row r="43" spans="1:6">
      <c r="A43" s="271"/>
      <c r="C43" s="361" t="str">
        <f>IF(C42+C15+D15+E15=B15,"ok","rever")</f>
        <v>ok</v>
      </c>
    </row>
    <row r="44" spans="1:6">
      <c r="A44" s="362"/>
      <c r="B44" s="363"/>
      <c r="C44" s="363"/>
      <c r="D44" s="363"/>
      <c r="E44" s="363"/>
      <c r="F44" s="363"/>
    </row>
  </sheetData>
  <mergeCells count="27">
    <mergeCell ref="A1:F1"/>
    <mergeCell ref="A6:E6"/>
    <mergeCell ref="A18:C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42:B42"/>
    <mergeCell ref="A36:B36"/>
    <mergeCell ref="A37:B37"/>
    <mergeCell ref="A38:B38"/>
    <mergeCell ref="A39:B39"/>
    <mergeCell ref="A40:B4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D25" sqref="D25"/>
    </sheetView>
  </sheetViews>
  <sheetFormatPr defaultColWidth="28" defaultRowHeight="22.5" customHeight="1"/>
  <cols>
    <col min="1" max="1" width="26.7109375" style="233" customWidth="1"/>
    <col min="2" max="2" width="13.28515625" style="233" customWidth="1"/>
    <col min="3" max="3" width="14.7109375" style="233" customWidth="1"/>
    <col min="4" max="4" width="14.85546875" style="233" customWidth="1"/>
    <col min="5" max="5" width="28" style="233" customWidth="1"/>
    <col min="6" max="16384" width="28" style="233"/>
  </cols>
  <sheetData>
    <row r="1" spans="1:17" ht="22.5" customHeight="1">
      <c r="A1" s="432" t="s">
        <v>40</v>
      </c>
      <c r="B1" s="433"/>
      <c r="C1" s="433"/>
      <c r="D1" s="433"/>
      <c r="E1" s="433"/>
      <c r="F1" s="445"/>
      <c r="G1" s="235"/>
      <c r="H1" s="235"/>
      <c r="I1" s="235"/>
      <c r="J1" s="235"/>
      <c r="K1" s="235"/>
      <c r="L1" s="235"/>
      <c r="M1" s="235"/>
      <c r="N1" s="235"/>
      <c r="O1" s="266"/>
      <c r="P1" s="267"/>
      <c r="Q1" s="267"/>
    </row>
    <row r="2" spans="1:17" ht="22.5" customHeight="1">
      <c r="A2" s="236"/>
      <c r="F2" s="307"/>
    </row>
    <row r="3" spans="1:17" ht="22.5" customHeight="1">
      <c r="A3" s="237" t="s">
        <v>6</v>
      </c>
      <c r="B3" s="446" t="s">
        <v>3</v>
      </c>
      <c r="C3" s="446"/>
      <c r="D3" s="446"/>
      <c r="E3" s="446"/>
      <c r="F3" s="307"/>
    </row>
    <row r="4" spans="1:17" ht="22.5" customHeight="1">
      <c r="A4" s="237" t="s">
        <v>7</v>
      </c>
      <c r="B4" s="447">
        <f>Leitos!B4</f>
        <v>46054</v>
      </c>
      <c r="C4" s="447"/>
      <c r="D4" s="447"/>
      <c r="E4" s="447"/>
      <c r="F4" s="307"/>
    </row>
    <row r="5" spans="1:17" ht="22.5" customHeight="1">
      <c r="A5" s="236"/>
      <c r="F5" s="307"/>
    </row>
    <row r="6" spans="1:17" ht="22.5" customHeight="1">
      <c r="A6" s="448" t="s">
        <v>41</v>
      </c>
      <c r="B6" s="449"/>
      <c r="C6" s="449"/>
      <c r="D6" s="449"/>
      <c r="E6" s="449"/>
      <c r="F6" s="450"/>
    </row>
    <row r="7" spans="1:17" ht="22.5" customHeight="1">
      <c r="A7" s="451"/>
      <c r="B7" s="452"/>
      <c r="C7" s="452"/>
      <c r="D7" s="452"/>
      <c r="F7" s="345" t="s">
        <v>42</v>
      </c>
    </row>
    <row r="8" spans="1:17" ht="22.5" customHeight="1">
      <c r="A8" s="440" t="s">
        <v>43</v>
      </c>
      <c r="B8" s="441"/>
      <c r="C8" s="441"/>
      <c r="D8" s="441"/>
      <c r="E8" s="441"/>
      <c r="F8" s="346">
        <v>2320</v>
      </c>
    </row>
    <row r="9" spans="1:17" ht="22.5" customHeight="1">
      <c r="A9" s="440" t="s">
        <v>44</v>
      </c>
      <c r="B9" s="441"/>
      <c r="C9" s="441"/>
      <c r="D9" s="441"/>
      <c r="E9" s="441"/>
      <c r="F9" s="259">
        <v>383</v>
      </c>
    </row>
    <row r="10" spans="1:17" ht="22.5" customHeight="1">
      <c r="A10" s="442" t="s">
        <v>14</v>
      </c>
      <c r="B10" s="443"/>
      <c r="C10" s="443"/>
      <c r="D10" s="443"/>
      <c r="E10" s="347"/>
      <c r="F10" s="275">
        <f>SUM(F8:F9)</f>
        <v>2703</v>
      </c>
    </row>
    <row r="11" spans="1:17" ht="50.1" customHeight="1">
      <c r="A11" s="440" t="s">
        <v>45</v>
      </c>
      <c r="B11" s="441"/>
      <c r="C11" s="441"/>
      <c r="D11" s="441"/>
      <c r="E11" s="441"/>
      <c r="F11" s="444"/>
    </row>
    <row r="12" spans="1:17" ht="22.5" customHeight="1">
      <c r="A12" s="236"/>
      <c r="F12" s="307"/>
    </row>
    <row r="13" spans="1:17" ht="22.5" customHeight="1">
      <c r="A13" s="236"/>
      <c r="F13" s="307"/>
    </row>
    <row r="14" spans="1:17" ht="22.5" customHeight="1">
      <c r="A14" s="236"/>
      <c r="F14" s="307"/>
    </row>
    <row r="15" spans="1:17" ht="22.5" customHeight="1">
      <c r="A15" s="236"/>
      <c r="F15" s="307"/>
    </row>
    <row r="16" spans="1:17" ht="22.5" customHeight="1">
      <c r="A16" s="236"/>
      <c r="F16" s="307"/>
    </row>
    <row r="17" spans="1:6" ht="22.5" customHeight="1">
      <c r="A17" s="236"/>
      <c r="F17" s="307"/>
    </row>
    <row r="18" spans="1:6" ht="22.5" customHeight="1">
      <c r="A18" s="348"/>
      <c r="B18" s="347"/>
      <c r="C18" s="347"/>
      <c r="D18" s="347"/>
      <c r="E18" s="347"/>
      <c r="F18" s="309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topLeftCell="A7" zoomScale="90" zoomScaleNormal="100" zoomScaleSheetLayoutView="90" zoomScalePageLayoutView="90" workbookViewId="0">
      <selection activeCell="C38" sqref="C38"/>
    </sheetView>
  </sheetViews>
  <sheetFormatPr defaultColWidth="28" defaultRowHeight="15"/>
  <cols>
    <col min="1" max="1" width="26.7109375" style="233" customWidth="1"/>
    <col min="2" max="2" width="13.28515625" style="233" customWidth="1"/>
    <col min="3" max="3" width="14.7109375" style="233" customWidth="1"/>
    <col min="4" max="4" width="19.28515625" style="233" customWidth="1"/>
    <col min="5" max="5" width="21" style="233" customWidth="1"/>
    <col min="6" max="6" width="19" style="233" customWidth="1"/>
    <col min="7" max="8" width="22.85546875" style="233" customWidth="1"/>
    <col min="9" max="9" width="19" style="233" customWidth="1"/>
    <col min="10" max="10" width="28" style="233" customWidth="1"/>
    <col min="11" max="16384" width="28" style="233"/>
  </cols>
  <sheetData>
    <row r="1" spans="1:22">
      <c r="A1" s="432" t="s">
        <v>5</v>
      </c>
      <c r="B1" s="433"/>
      <c r="C1" s="433"/>
      <c r="D1" s="433"/>
      <c r="E1" s="433"/>
      <c r="F1" s="433"/>
      <c r="G1" s="433"/>
      <c r="H1" s="433"/>
      <c r="I1" s="44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66"/>
      <c r="U1" s="267"/>
      <c r="V1" s="267"/>
    </row>
    <row r="2" spans="1:22">
      <c r="A2" s="236"/>
      <c r="I2" s="307"/>
    </row>
    <row r="3" spans="1:22">
      <c r="A3" s="237" t="s">
        <v>6</v>
      </c>
      <c r="B3" s="295" t="s">
        <v>3</v>
      </c>
      <c r="C3" s="295"/>
      <c r="D3" s="295"/>
      <c r="E3" s="296"/>
      <c r="F3" s="296"/>
      <c r="G3" s="319" t="s">
        <v>46</v>
      </c>
      <c r="H3" s="320">
        <v>6683134</v>
      </c>
      <c r="I3" s="307"/>
    </row>
    <row r="4" spans="1:22" ht="18" customHeight="1">
      <c r="A4" s="237" t="s">
        <v>7</v>
      </c>
      <c r="B4" s="321">
        <v>46054</v>
      </c>
      <c r="I4" s="307"/>
    </row>
    <row r="5" spans="1:22">
      <c r="A5" s="236"/>
      <c r="I5" s="307"/>
    </row>
    <row r="6" spans="1:22" ht="21" customHeight="1">
      <c r="A6" s="457" t="s">
        <v>47</v>
      </c>
      <c r="B6" s="458"/>
      <c r="C6" s="458"/>
      <c r="D6" s="458"/>
      <c r="E6" s="458"/>
      <c r="F6" s="458"/>
      <c r="G6" s="458"/>
      <c r="H6" s="458"/>
      <c r="I6" s="459"/>
    </row>
    <row r="7" spans="1:22" ht="30">
      <c r="A7" s="322" t="s">
        <v>9</v>
      </c>
      <c r="B7" s="323" t="s">
        <v>48</v>
      </c>
      <c r="C7" s="323" t="s">
        <v>49</v>
      </c>
      <c r="D7" s="323" t="s">
        <v>50</v>
      </c>
      <c r="E7" s="323" t="s">
        <v>51</v>
      </c>
      <c r="F7" s="323" t="s">
        <v>52</v>
      </c>
      <c r="G7" s="323" t="s">
        <v>53</v>
      </c>
      <c r="H7" s="323" t="s">
        <v>54</v>
      </c>
      <c r="I7" s="328" t="s">
        <v>55</v>
      </c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</row>
    <row r="8" spans="1:22">
      <c r="A8" s="303" t="s">
        <v>56</v>
      </c>
      <c r="B8" s="252">
        <f>190-6-2-3</f>
        <v>179</v>
      </c>
      <c r="C8" s="252">
        <v>6</v>
      </c>
      <c r="D8" s="252">
        <v>2</v>
      </c>
      <c r="E8" s="252">
        <v>3</v>
      </c>
      <c r="F8" s="324">
        <f>SUM(B8:E8)</f>
        <v>190</v>
      </c>
      <c r="G8" s="308" t="s">
        <v>57</v>
      </c>
      <c r="H8" s="302">
        <v>728</v>
      </c>
      <c r="I8" s="344">
        <v>584</v>
      </c>
    </row>
    <row r="9" spans="1:22">
      <c r="A9" s="303" t="s">
        <v>58</v>
      </c>
      <c r="B9" s="252">
        <f>192-12-5-15</f>
        <v>160</v>
      </c>
      <c r="C9" s="252">
        <v>12</v>
      </c>
      <c r="D9" s="252">
        <v>5</v>
      </c>
      <c r="E9" s="252">
        <v>15</v>
      </c>
      <c r="F9" s="324">
        <f t="shared" ref="F9:F13" si="0">SUM(B9:E9)</f>
        <v>192</v>
      </c>
      <c r="G9" s="308" t="s">
        <v>57</v>
      </c>
      <c r="H9" s="302">
        <v>728</v>
      </c>
      <c r="I9" s="344">
        <v>714</v>
      </c>
    </row>
    <row r="10" spans="1:22">
      <c r="A10" s="303" t="s">
        <v>59</v>
      </c>
      <c r="B10" s="252">
        <f>6-3</f>
        <v>3</v>
      </c>
      <c r="C10" s="252">
        <v>0</v>
      </c>
      <c r="D10" s="252">
        <v>0</v>
      </c>
      <c r="E10" s="252">
        <v>3</v>
      </c>
      <c r="F10" s="324">
        <f t="shared" si="0"/>
        <v>6</v>
      </c>
      <c r="G10" s="308" t="s">
        <v>57</v>
      </c>
      <c r="H10" s="302">
        <v>102</v>
      </c>
      <c r="I10" s="344">
        <v>63</v>
      </c>
    </row>
    <row r="11" spans="1:22">
      <c r="A11" s="303" t="s">
        <v>60</v>
      </c>
      <c r="B11" s="252">
        <f>65-2</f>
        <v>63</v>
      </c>
      <c r="C11" s="252">
        <v>0</v>
      </c>
      <c r="D11" s="252">
        <v>0</v>
      </c>
      <c r="E11" s="252">
        <v>2</v>
      </c>
      <c r="F11" s="324">
        <f t="shared" si="0"/>
        <v>65</v>
      </c>
      <c r="G11" s="308" t="s">
        <v>57</v>
      </c>
      <c r="H11" s="302">
        <v>318</v>
      </c>
      <c r="I11" s="344">
        <v>197</v>
      </c>
    </row>
    <row r="12" spans="1:22">
      <c r="A12" s="303" t="s">
        <v>61</v>
      </c>
      <c r="B12" s="252">
        <v>91</v>
      </c>
      <c r="C12" s="252">
        <v>0</v>
      </c>
      <c r="D12" s="252">
        <v>0</v>
      </c>
      <c r="E12" s="252">
        <v>0</v>
      </c>
      <c r="F12" s="324">
        <f t="shared" si="0"/>
        <v>91</v>
      </c>
      <c r="G12" s="308" t="s">
        <v>57</v>
      </c>
      <c r="H12" s="302">
        <f>420-168</f>
        <v>252</v>
      </c>
      <c r="I12" s="344">
        <v>139</v>
      </c>
    </row>
    <row r="13" spans="1:22">
      <c r="A13" s="303" t="s">
        <v>62</v>
      </c>
      <c r="B13" s="252">
        <f>47-3</f>
        <v>44</v>
      </c>
      <c r="C13" s="252">
        <v>3</v>
      </c>
      <c r="D13" s="252">
        <v>0</v>
      </c>
      <c r="E13" s="252">
        <v>0</v>
      </c>
      <c r="F13" s="324">
        <f t="shared" si="0"/>
        <v>47</v>
      </c>
      <c r="G13" s="308" t="s">
        <v>57</v>
      </c>
      <c r="H13" s="302">
        <v>168</v>
      </c>
      <c r="I13" s="344">
        <v>166</v>
      </c>
    </row>
    <row r="14" spans="1:22">
      <c r="A14" s="322" t="s">
        <v>63</v>
      </c>
      <c r="B14" s="325" t="s">
        <v>57</v>
      </c>
      <c r="C14" s="323">
        <v>1</v>
      </c>
      <c r="D14" s="323">
        <v>11</v>
      </c>
      <c r="E14" s="323">
        <v>0</v>
      </c>
      <c r="F14" s="326">
        <v>12</v>
      </c>
      <c r="G14" s="323">
        <v>24</v>
      </c>
      <c r="H14" s="323">
        <v>280</v>
      </c>
      <c r="I14" s="328">
        <v>254</v>
      </c>
    </row>
    <row r="15" spans="1:22">
      <c r="A15" s="273" t="s">
        <v>14</v>
      </c>
      <c r="B15" s="305">
        <f>SUM(B8:B13)</f>
        <v>540</v>
      </c>
      <c r="C15" s="305">
        <f>SUM(C8:C14)</f>
        <v>22</v>
      </c>
      <c r="D15" s="305">
        <f>SUM(D8:D14)</f>
        <v>18</v>
      </c>
      <c r="E15" s="305">
        <f>SUM(E8:E14)</f>
        <v>23</v>
      </c>
      <c r="F15" s="305">
        <f>SUM(F8:F14)</f>
        <v>603</v>
      </c>
      <c r="G15" s="305">
        <v>24</v>
      </c>
      <c r="H15" s="305">
        <f>SUM(H8:H14)</f>
        <v>2576</v>
      </c>
      <c r="I15" s="306">
        <f>SUM(I8:I14)</f>
        <v>2117</v>
      </c>
    </row>
    <row r="16" spans="1:22" ht="41.1" customHeight="1">
      <c r="A16" s="460" t="s">
        <v>64</v>
      </c>
      <c r="B16" s="461"/>
      <c r="C16" s="461"/>
      <c r="D16" s="461"/>
      <c r="E16" s="461"/>
      <c r="F16" s="461"/>
      <c r="G16" s="461"/>
      <c r="H16" s="461"/>
      <c r="I16" s="462"/>
    </row>
    <row r="17" spans="1:9" ht="44.1" customHeight="1">
      <c r="A17" s="463" t="s">
        <v>65</v>
      </c>
      <c r="B17" s="464"/>
      <c r="D17" s="463" t="s">
        <v>66</v>
      </c>
      <c r="E17" s="464"/>
      <c r="G17"/>
      <c r="H17"/>
      <c r="I17" s="307"/>
    </row>
    <row r="18" spans="1:9">
      <c r="A18" s="327" t="s">
        <v>9</v>
      </c>
      <c r="B18" s="328" t="s">
        <v>67</v>
      </c>
      <c r="D18" s="327" t="s">
        <v>9</v>
      </c>
      <c r="E18" s="328" t="s">
        <v>68</v>
      </c>
      <c r="G18"/>
      <c r="H18"/>
      <c r="I18" s="307"/>
    </row>
    <row r="19" spans="1:9" ht="21" customHeight="1">
      <c r="A19" s="303" t="str">
        <f t="shared" ref="A19:A24" si="1">A8</f>
        <v>1. Clínica Cirúrgica</v>
      </c>
      <c r="B19" s="297">
        <v>1</v>
      </c>
      <c r="D19" s="303" t="str">
        <f t="shared" ref="D19:D24" si="2">A19</f>
        <v>1. Clínica Cirúrgica</v>
      </c>
      <c r="E19" s="297">
        <v>13</v>
      </c>
      <c r="G19"/>
      <c r="H19"/>
      <c r="I19" s="307"/>
    </row>
    <row r="20" spans="1:9">
      <c r="A20" s="303" t="str">
        <f t="shared" si="1"/>
        <v>2. Clínica Médica</v>
      </c>
      <c r="B20" s="259">
        <v>7</v>
      </c>
      <c r="D20" s="303" t="str">
        <f t="shared" si="2"/>
        <v>2. Clínica Médica</v>
      </c>
      <c r="E20" s="259">
        <v>8</v>
      </c>
      <c r="G20"/>
      <c r="H20"/>
      <c r="I20" s="307"/>
    </row>
    <row r="21" spans="1:9">
      <c r="A21" s="303" t="str">
        <f t="shared" si="1"/>
        <v>3. Oncologia Clínica</v>
      </c>
      <c r="B21" s="259">
        <v>1</v>
      </c>
      <c r="D21" s="303" t="str">
        <f t="shared" si="2"/>
        <v>3. Oncologia Clínica</v>
      </c>
      <c r="E21" s="259">
        <v>1</v>
      </c>
      <c r="G21"/>
      <c r="H21"/>
      <c r="I21" s="307"/>
    </row>
    <row r="22" spans="1:9" ht="30">
      <c r="A22" s="303" t="str">
        <f t="shared" si="1"/>
        <v>4. Oncologia Cirúrgica</v>
      </c>
      <c r="B22" s="259">
        <v>2</v>
      </c>
      <c r="D22" s="303" t="str">
        <f t="shared" si="2"/>
        <v>4. Oncologia Cirúrgica</v>
      </c>
      <c r="E22" s="259">
        <v>2</v>
      </c>
      <c r="G22"/>
      <c r="H22"/>
      <c r="I22" s="307"/>
    </row>
    <row r="23" spans="1:9" ht="30">
      <c r="A23" s="303" t="str">
        <f t="shared" si="1"/>
        <v>5. Clínica Gineco/Obstétrica</v>
      </c>
      <c r="B23" s="259">
        <v>0</v>
      </c>
      <c r="D23" s="303" t="str">
        <f t="shared" si="2"/>
        <v>5. Clínica Gineco/Obstétrica</v>
      </c>
      <c r="E23" s="259">
        <v>0</v>
      </c>
      <c r="G23"/>
      <c r="H23"/>
      <c r="I23" s="307"/>
    </row>
    <row r="24" spans="1:9">
      <c r="A24" s="303" t="str">
        <f t="shared" si="1"/>
        <v>6. Clínica Pediátrica</v>
      </c>
      <c r="B24" s="259">
        <v>0</v>
      </c>
      <c r="D24" s="303" t="str">
        <f t="shared" si="2"/>
        <v>6. Clínica Pediátrica</v>
      </c>
      <c r="E24" s="259">
        <v>0</v>
      </c>
      <c r="G24"/>
      <c r="H24"/>
      <c r="I24" s="307"/>
    </row>
    <row r="25" spans="1:9">
      <c r="A25" s="303" t="s">
        <v>69</v>
      </c>
      <c r="B25" s="259">
        <v>1</v>
      </c>
      <c r="D25" s="273" t="s">
        <v>14</v>
      </c>
      <c r="E25" s="275">
        <f>SUM(E19:E24)</f>
        <v>24</v>
      </c>
      <c r="G25"/>
      <c r="H25"/>
      <c r="I25" s="307"/>
    </row>
    <row r="26" spans="1:9" ht="18" customHeight="1">
      <c r="A26" s="273" t="s">
        <v>14</v>
      </c>
      <c r="B26" s="275">
        <f>SUM(B19:B25)</f>
        <v>12</v>
      </c>
      <c r="E26" s="329" t="str">
        <f>IF(E25=G14,"OK","REVER")</f>
        <v>OK</v>
      </c>
      <c r="G26"/>
      <c r="H26"/>
      <c r="I26" s="307"/>
    </row>
    <row r="27" spans="1:9">
      <c r="A27" s="236"/>
      <c r="B27" s="329" t="str">
        <f>IF(B26=F14,"OK","REVER")</f>
        <v>OK</v>
      </c>
      <c r="D27"/>
      <c r="E27"/>
      <c r="F27"/>
      <c r="G27"/>
      <c r="H27"/>
      <c r="I27" s="307"/>
    </row>
    <row r="28" spans="1:9">
      <c r="A28" s="236"/>
      <c r="I28" s="307"/>
    </row>
    <row r="29" spans="1:9" ht="17.25" customHeight="1">
      <c r="A29" s="330" t="s">
        <v>70</v>
      </c>
      <c r="B29" s="453" t="s">
        <v>71</v>
      </c>
      <c r="C29" s="454"/>
      <c r="D29" s="453" t="s">
        <v>72</v>
      </c>
      <c r="E29" s="455"/>
      <c r="F29" s="456"/>
    </row>
    <row r="30" spans="1:9" ht="20.25" customHeight="1">
      <c r="A30" s="331"/>
      <c r="B30" s="332" t="s">
        <v>73</v>
      </c>
      <c r="C30" s="332" t="s">
        <v>74</v>
      </c>
      <c r="D30" s="332" t="s">
        <v>75</v>
      </c>
      <c r="E30" s="332" t="s">
        <v>76</v>
      </c>
      <c r="F30" s="333" t="s">
        <v>77</v>
      </c>
    </row>
    <row r="31" spans="1:9" ht="15" customHeight="1">
      <c r="A31" s="334" t="str">
        <f t="shared" ref="A31:A37" si="3">A8</f>
        <v>1. Clínica Cirúrgica</v>
      </c>
      <c r="B31" s="335">
        <f>F8</f>
        <v>190</v>
      </c>
      <c r="C31" s="336">
        <f>B31/$B$38</f>
        <v>0.31509121061359868</v>
      </c>
      <c r="D31" s="337">
        <f>H8</f>
        <v>728</v>
      </c>
      <c r="E31" s="409">
        <f t="shared" ref="E31:E36" si="4">I8/F8</f>
        <v>3.0736842105263156</v>
      </c>
      <c r="F31" s="338">
        <f>I8/H8</f>
        <v>0.80219780219780223</v>
      </c>
    </row>
    <row r="32" spans="1:9">
      <c r="A32" s="334" t="str">
        <f t="shared" si="3"/>
        <v>2. Clínica Médica</v>
      </c>
      <c r="B32" s="335">
        <f t="shared" ref="B32:B37" si="5">F9</f>
        <v>192</v>
      </c>
      <c r="C32" s="336">
        <f t="shared" ref="C32:C38" si="6">B32/$B$38</f>
        <v>0.31840796019900497</v>
      </c>
      <c r="D32" s="337">
        <f t="shared" ref="D32:D37" si="7">H9</f>
        <v>728</v>
      </c>
      <c r="E32" s="409">
        <f t="shared" si="4"/>
        <v>3.71875</v>
      </c>
      <c r="F32" s="338">
        <f t="shared" ref="F32:F38" si="8">I9/H9</f>
        <v>0.98076923076923073</v>
      </c>
    </row>
    <row r="33" spans="1:9" ht="14.25" customHeight="1">
      <c r="A33" s="334" t="str">
        <f t="shared" si="3"/>
        <v>3. Oncologia Clínica</v>
      </c>
      <c r="B33" s="335">
        <f t="shared" si="5"/>
        <v>6</v>
      </c>
      <c r="C33" s="336">
        <f t="shared" si="6"/>
        <v>9.9502487562189053E-3</v>
      </c>
      <c r="D33" s="337">
        <f t="shared" si="7"/>
        <v>102</v>
      </c>
      <c r="E33" s="409">
        <f t="shared" si="4"/>
        <v>10.5</v>
      </c>
      <c r="F33" s="338">
        <f t="shared" si="8"/>
        <v>0.61764705882352944</v>
      </c>
    </row>
    <row r="34" spans="1:9" ht="14.25" customHeight="1">
      <c r="A34" s="334" t="str">
        <f t="shared" si="3"/>
        <v>4. Oncologia Cirúrgica</v>
      </c>
      <c r="B34" s="335">
        <f t="shared" si="5"/>
        <v>65</v>
      </c>
      <c r="C34" s="336">
        <f t="shared" si="6"/>
        <v>0.1077943615257048</v>
      </c>
      <c r="D34" s="337">
        <f t="shared" si="7"/>
        <v>318</v>
      </c>
      <c r="E34" s="409">
        <f t="shared" si="4"/>
        <v>3.0307692307692307</v>
      </c>
      <c r="F34" s="338">
        <f t="shared" si="8"/>
        <v>0.61949685534591192</v>
      </c>
    </row>
    <row r="35" spans="1:9" ht="15" customHeight="1">
      <c r="A35" s="334" t="str">
        <f t="shared" si="3"/>
        <v>5. Clínica Gineco/Obstétrica</v>
      </c>
      <c r="B35" s="335">
        <f t="shared" si="5"/>
        <v>91</v>
      </c>
      <c r="C35" s="336">
        <f t="shared" si="6"/>
        <v>0.15091210613598674</v>
      </c>
      <c r="D35" s="337">
        <f t="shared" si="7"/>
        <v>252</v>
      </c>
      <c r="E35" s="409">
        <f t="shared" si="4"/>
        <v>1.5274725274725274</v>
      </c>
      <c r="F35" s="338">
        <f t="shared" si="8"/>
        <v>0.55158730158730163</v>
      </c>
    </row>
    <row r="36" spans="1:9">
      <c r="A36" s="334" t="str">
        <f t="shared" si="3"/>
        <v>6. Clínica Pediátrica</v>
      </c>
      <c r="B36" s="335">
        <f t="shared" si="5"/>
        <v>47</v>
      </c>
      <c r="C36" s="336">
        <f t="shared" si="6"/>
        <v>7.7943615257048099E-2</v>
      </c>
      <c r="D36" s="337">
        <f t="shared" si="7"/>
        <v>168</v>
      </c>
      <c r="E36" s="409">
        <f t="shared" si="4"/>
        <v>3.5319148936170213</v>
      </c>
      <c r="F36" s="338">
        <f t="shared" si="8"/>
        <v>0.98809523809523814</v>
      </c>
    </row>
    <row r="37" spans="1:9">
      <c r="A37" s="334" t="str">
        <f t="shared" si="3"/>
        <v>7. UTI Adulto</v>
      </c>
      <c r="B37" s="335">
        <f t="shared" si="5"/>
        <v>12</v>
      </c>
      <c r="C37" s="336">
        <f t="shared" si="6"/>
        <v>1.9900497512437811E-2</v>
      </c>
      <c r="D37" s="337">
        <f t="shared" si="7"/>
        <v>280</v>
      </c>
      <c r="E37" s="411">
        <f>I14/(G14+F14)</f>
        <v>7.0555555555555554</v>
      </c>
      <c r="F37" s="338">
        <f t="shared" si="8"/>
        <v>0.90714285714285714</v>
      </c>
    </row>
    <row r="38" spans="1:9">
      <c r="A38" s="339" t="s">
        <v>14</v>
      </c>
      <c r="B38" s="340">
        <f>SUM(B31:B37)</f>
        <v>603</v>
      </c>
      <c r="C38" s="336">
        <f t="shared" si="6"/>
        <v>1</v>
      </c>
      <c r="D38" s="341">
        <f>SUM(D31:D37)</f>
        <v>2576</v>
      </c>
      <c r="E38" s="408">
        <f>AVERAGE(E31:E37)</f>
        <v>4.6340209168486641</v>
      </c>
      <c r="F38" s="342">
        <f t="shared" si="8"/>
        <v>0.82181677018633537</v>
      </c>
    </row>
    <row r="39" spans="1:9">
      <c r="I39" s="307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view="pageLayout" topLeftCell="A7" zoomScaleNormal="100" zoomScaleSheetLayoutView="100" workbookViewId="0">
      <selection activeCell="F31" sqref="F31"/>
    </sheetView>
  </sheetViews>
  <sheetFormatPr defaultColWidth="28" defaultRowHeight="19.5" customHeight="1"/>
  <cols>
    <col min="1" max="1" width="39.28515625" style="233" customWidth="1"/>
    <col min="2" max="2" width="24.7109375" style="233" customWidth="1"/>
    <col min="3" max="3" width="18.28515625" style="233" customWidth="1"/>
    <col min="4" max="4" width="19.7109375" style="233" customWidth="1"/>
    <col min="5" max="5" width="20.42578125" style="233" customWidth="1"/>
    <col min="6" max="16384" width="28" style="233"/>
  </cols>
  <sheetData>
    <row r="1" spans="1:13" ht="19.5" customHeight="1">
      <c r="A1" s="432" t="s">
        <v>78</v>
      </c>
      <c r="B1" s="433"/>
      <c r="C1" s="433"/>
      <c r="D1" s="433"/>
      <c r="E1" s="445"/>
      <c r="F1" s="235"/>
      <c r="G1" s="235"/>
      <c r="H1" s="235"/>
      <c r="I1" s="235"/>
      <c r="J1" s="235"/>
      <c r="K1" s="266"/>
      <c r="L1" s="267"/>
      <c r="M1" s="267"/>
    </row>
    <row r="2" spans="1:13" ht="19.5" customHeight="1">
      <c r="A2" s="236"/>
    </row>
    <row r="3" spans="1:13" ht="19.5" customHeight="1">
      <c r="A3" s="237" t="s">
        <v>6</v>
      </c>
      <c r="B3" s="295" t="s">
        <v>3</v>
      </c>
      <c r="C3" s="296"/>
    </row>
    <row r="4" spans="1:13" ht="19.5" customHeight="1">
      <c r="A4" s="237" t="s">
        <v>7</v>
      </c>
      <c r="B4" s="238">
        <f>Assistencial!B4</f>
        <v>46054</v>
      </c>
    </row>
    <row r="5" spans="1:13" ht="19.5" customHeight="1">
      <c r="A5" s="236"/>
    </row>
    <row r="6" spans="1:13" ht="19.5" customHeight="1">
      <c r="A6" s="448" t="s">
        <v>79</v>
      </c>
      <c r="B6" s="449"/>
      <c r="C6" s="449"/>
      <c r="D6" s="449"/>
      <c r="E6" s="450"/>
    </row>
    <row r="7" spans="1:13" ht="18" customHeight="1">
      <c r="A7" s="469" t="s">
        <v>80</v>
      </c>
      <c r="B7" s="470"/>
      <c r="C7" s="470"/>
      <c r="D7" s="470"/>
      <c r="E7" s="471"/>
    </row>
    <row r="8" spans="1:13" ht="63" customHeight="1">
      <c r="A8" s="298" t="s">
        <v>81</v>
      </c>
      <c r="B8" s="299" t="s">
        <v>82</v>
      </c>
      <c r="C8" s="299" t="s">
        <v>83</v>
      </c>
      <c r="D8" s="299" t="s">
        <v>84</v>
      </c>
      <c r="E8" s="300" t="s">
        <v>14</v>
      </c>
    </row>
    <row r="9" spans="1:13" ht="19.5" customHeight="1">
      <c r="A9" s="236" t="s">
        <v>85</v>
      </c>
      <c r="B9" s="234">
        <v>2</v>
      </c>
      <c r="C9" s="234">
        <v>0</v>
      </c>
      <c r="D9" s="234">
        <v>98</v>
      </c>
      <c r="E9" s="301">
        <f>SUM(B9:D9)</f>
        <v>100</v>
      </c>
    </row>
    <row r="10" spans="1:13" ht="19.5" customHeight="1">
      <c r="A10" s="236" t="s">
        <v>86</v>
      </c>
      <c r="B10" s="234">
        <v>111</v>
      </c>
      <c r="C10" s="234">
        <v>0</v>
      </c>
      <c r="D10" s="234">
        <f>91+8+1+6+2</f>
        <v>108</v>
      </c>
      <c r="E10" s="301">
        <f t="shared" ref="E10:E30" si="0">SUM(B10:D10)</f>
        <v>219</v>
      </c>
    </row>
    <row r="11" spans="1:13" ht="19.5" customHeight="1">
      <c r="A11" s="236" t="s">
        <v>87</v>
      </c>
      <c r="B11" s="234">
        <v>25</v>
      </c>
      <c r="C11" s="234">
        <v>0</v>
      </c>
      <c r="D11" s="234">
        <f>72+41+4+1+1</f>
        <v>119</v>
      </c>
      <c r="E11" s="301">
        <f t="shared" si="0"/>
        <v>144</v>
      </c>
    </row>
    <row r="12" spans="1:13" ht="19.5" customHeight="1">
      <c r="A12" s="236" t="s">
        <v>88</v>
      </c>
      <c r="B12" s="302">
        <v>60</v>
      </c>
      <c r="C12" s="302">
        <v>0</v>
      </c>
      <c r="D12" s="302">
        <f>55+9</f>
        <v>64</v>
      </c>
      <c r="E12" s="301">
        <f t="shared" si="0"/>
        <v>124</v>
      </c>
    </row>
    <row r="13" spans="1:13" ht="19.5" customHeight="1">
      <c r="A13" s="236" t="s">
        <v>89</v>
      </c>
      <c r="B13" s="252">
        <v>0</v>
      </c>
      <c r="C13" s="252">
        <v>0</v>
      </c>
      <c r="D13" s="252">
        <v>9</v>
      </c>
      <c r="E13" s="301">
        <f t="shared" si="0"/>
        <v>9</v>
      </c>
    </row>
    <row r="14" spans="1:13" ht="19.5" customHeight="1">
      <c r="A14" s="236" t="s">
        <v>90</v>
      </c>
      <c r="B14" s="234">
        <v>28</v>
      </c>
      <c r="C14" s="234">
        <v>0</v>
      </c>
      <c r="D14" s="234">
        <v>17</v>
      </c>
      <c r="E14" s="301">
        <f t="shared" si="0"/>
        <v>45</v>
      </c>
    </row>
    <row r="15" spans="1:13" ht="19.5" customHeight="1">
      <c r="A15" s="236" t="s">
        <v>91</v>
      </c>
      <c r="B15" s="252">
        <v>17</v>
      </c>
      <c r="C15" s="252">
        <v>0</v>
      </c>
      <c r="D15" s="252">
        <v>13</v>
      </c>
      <c r="E15" s="301">
        <f t="shared" si="0"/>
        <v>30</v>
      </c>
    </row>
    <row r="16" spans="1:13" ht="19.5" customHeight="1">
      <c r="A16" s="236" t="s">
        <v>92</v>
      </c>
      <c r="B16" s="252">
        <v>17</v>
      </c>
      <c r="C16" s="252">
        <v>0</v>
      </c>
      <c r="D16" s="252">
        <v>11</v>
      </c>
      <c r="E16" s="301">
        <f t="shared" si="0"/>
        <v>28</v>
      </c>
    </row>
    <row r="17" spans="1:6" ht="15">
      <c r="A17" s="303" t="s">
        <v>93</v>
      </c>
      <c r="B17" s="234">
        <v>6</v>
      </c>
      <c r="C17" s="234">
        <v>0</v>
      </c>
      <c r="D17" s="234">
        <v>33</v>
      </c>
      <c r="E17" s="301">
        <f t="shared" si="0"/>
        <v>39</v>
      </c>
    </row>
    <row r="18" spans="1:6" ht="19.5" customHeight="1">
      <c r="A18" s="236" t="s">
        <v>94</v>
      </c>
      <c r="B18" s="234">
        <v>14</v>
      </c>
      <c r="C18" s="234">
        <v>0</v>
      </c>
      <c r="D18" s="234">
        <v>6</v>
      </c>
      <c r="E18" s="301">
        <f t="shared" si="0"/>
        <v>20</v>
      </c>
    </row>
    <row r="19" spans="1:6" ht="19.5" customHeight="1">
      <c r="A19" s="236" t="s">
        <v>95</v>
      </c>
      <c r="B19" s="234">
        <v>0</v>
      </c>
      <c r="C19" s="234">
        <v>0</v>
      </c>
      <c r="D19" s="234">
        <v>18</v>
      </c>
      <c r="E19" s="301">
        <f t="shared" si="0"/>
        <v>18</v>
      </c>
    </row>
    <row r="20" spans="1:6" ht="19.5" customHeight="1">
      <c r="A20" s="236" t="s">
        <v>96</v>
      </c>
      <c r="B20" s="234">
        <v>17</v>
      </c>
      <c r="C20" s="234">
        <v>0</v>
      </c>
      <c r="D20" s="234">
        <f>21+27</f>
        <v>48</v>
      </c>
      <c r="E20" s="301">
        <f t="shared" si="0"/>
        <v>65</v>
      </c>
    </row>
    <row r="21" spans="1:6" ht="19.5" customHeight="1">
      <c r="A21" s="236" t="s">
        <v>97</v>
      </c>
      <c r="B21" s="234">
        <v>246</v>
      </c>
      <c r="C21" s="234">
        <v>0</v>
      </c>
      <c r="D21" s="234">
        <v>196</v>
      </c>
      <c r="E21" s="301">
        <f t="shared" si="0"/>
        <v>442</v>
      </c>
    </row>
    <row r="22" spans="1:6" ht="19.5" customHeight="1">
      <c r="A22" s="236" t="s">
        <v>98</v>
      </c>
      <c r="B22" s="234">
        <f>12+62</f>
        <v>74</v>
      </c>
      <c r="C22" s="234">
        <v>0</v>
      </c>
      <c r="D22" s="234">
        <f>454+346+1</f>
        <v>801</v>
      </c>
      <c r="E22" s="301">
        <f t="shared" si="0"/>
        <v>875</v>
      </c>
    </row>
    <row r="23" spans="1:6" ht="19.5" customHeight="1">
      <c r="A23" s="236" t="s">
        <v>99</v>
      </c>
      <c r="B23" s="234">
        <v>29</v>
      </c>
      <c r="C23" s="234">
        <v>0</v>
      </c>
      <c r="D23" s="234">
        <f>106+57</f>
        <v>163</v>
      </c>
      <c r="E23" s="301">
        <f t="shared" si="0"/>
        <v>192</v>
      </c>
    </row>
    <row r="24" spans="1:6" ht="19.5" customHeight="1">
      <c r="A24" s="236" t="s">
        <v>100</v>
      </c>
      <c r="B24" s="234">
        <v>50</v>
      </c>
      <c r="C24" s="234">
        <v>0</v>
      </c>
      <c r="D24" s="234">
        <f>126+136</f>
        <v>262</v>
      </c>
      <c r="E24" s="301">
        <f t="shared" si="0"/>
        <v>312</v>
      </c>
    </row>
    <row r="25" spans="1:6" ht="19.5" customHeight="1">
      <c r="A25" s="236" t="s">
        <v>101</v>
      </c>
      <c r="B25" s="234">
        <v>84</v>
      </c>
      <c r="C25" s="234">
        <v>0</v>
      </c>
      <c r="D25" s="234">
        <f>33+12</f>
        <v>45</v>
      </c>
      <c r="E25" s="301">
        <f t="shared" si="0"/>
        <v>129</v>
      </c>
    </row>
    <row r="26" spans="1:6" ht="19.5" customHeight="1">
      <c r="A26" s="236" t="s">
        <v>102</v>
      </c>
      <c r="B26" s="234">
        <v>14</v>
      </c>
      <c r="C26" s="234">
        <v>0</v>
      </c>
      <c r="D26" s="234">
        <v>8</v>
      </c>
      <c r="E26" s="301">
        <f t="shared" si="0"/>
        <v>22</v>
      </c>
    </row>
    <row r="27" spans="1:6" ht="19.5" customHeight="1">
      <c r="A27" s="236" t="s">
        <v>103</v>
      </c>
      <c r="B27" s="234">
        <v>1</v>
      </c>
      <c r="C27" s="234">
        <v>0</v>
      </c>
      <c r="D27" s="234">
        <v>38</v>
      </c>
      <c r="E27" s="301">
        <f t="shared" si="0"/>
        <v>39</v>
      </c>
    </row>
    <row r="28" spans="1:6" ht="19.5" customHeight="1">
      <c r="A28" s="236" t="s">
        <v>104</v>
      </c>
      <c r="B28" s="234">
        <v>7</v>
      </c>
      <c r="C28" s="234">
        <v>0</v>
      </c>
      <c r="D28" s="234">
        <v>9</v>
      </c>
      <c r="E28" s="301">
        <f t="shared" si="0"/>
        <v>16</v>
      </c>
    </row>
    <row r="29" spans="1:6" ht="19.5" customHeight="1">
      <c r="A29" s="236" t="s">
        <v>105</v>
      </c>
      <c r="B29" s="234">
        <v>13</v>
      </c>
      <c r="C29" s="234">
        <v>0</v>
      </c>
      <c r="D29" s="234">
        <f>12+3+1</f>
        <v>16</v>
      </c>
      <c r="E29" s="301">
        <f t="shared" si="0"/>
        <v>29</v>
      </c>
    </row>
    <row r="30" spans="1:6" ht="15">
      <c r="A30" s="303" t="s">
        <v>106</v>
      </c>
      <c r="B30" s="234">
        <v>29</v>
      </c>
      <c r="C30" s="234">
        <v>0</v>
      </c>
      <c r="D30" s="234">
        <f>15+7+1</f>
        <v>23</v>
      </c>
      <c r="E30" s="301">
        <f t="shared" si="0"/>
        <v>52</v>
      </c>
    </row>
    <row r="31" spans="1:6" ht="19.5" customHeight="1">
      <c r="A31" s="304" t="s">
        <v>14</v>
      </c>
      <c r="B31" s="305">
        <f>SUM(B9:B30)</f>
        <v>844</v>
      </c>
      <c r="C31" s="305">
        <f>SUM(C9:C30)</f>
        <v>0</v>
      </c>
      <c r="D31" s="305">
        <f>SUM(D9:D30)</f>
        <v>2105</v>
      </c>
      <c r="E31" s="306">
        <f>SUM(E9:E30)</f>
        <v>2949</v>
      </c>
      <c r="F31" s="412"/>
    </row>
    <row r="32" spans="1:6" ht="21" customHeight="1">
      <c r="A32" s="236"/>
      <c r="E32" s="307"/>
    </row>
    <row r="33" spans="1:6" ht="20.100000000000001" customHeight="1">
      <c r="A33" s="472" t="s">
        <v>107</v>
      </c>
      <c r="B33" s="473"/>
      <c r="C33" s="473"/>
      <c r="D33" s="474"/>
      <c r="E33" s="307"/>
    </row>
    <row r="34" spans="1:6" ht="30.95" customHeight="1">
      <c r="A34" s="298" t="s">
        <v>81</v>
      </c>
      <c r="B34" s="299" t="s">
        <v>108</v>
      </c>
      <c r="C34" s="299" t="s">
        <v>109</v>
      </c>
      <c r="D34" s="300" t="s">
        <v>14</v>
      </c>
      <c r="E34" s="307"/>
      <c r="F34" s="412"/>
    </row>
    <row r="35" spans="1:6" ht="45.95" customHeight="1">
      <c r="A35" s="303" t="s">
        <v>110</v>
      </c>
      <c r="B35" s="234">
        <v>11</v>
      </c>
      <c r="C35" s="234">
        <v>9</v>
      </c>
      <c r="D35" s="301">
        <f>SUM(B35:C35)</f>
        <v>20</v>
      </c>
      <c r="E35" s="307"/>
    </row>
    <row r="36" spans="1:6" ht="39.950000000000003" customHeight="1">
      <c r="A36" s="303" t="s">
        <v>111</v>
      </c>
      <c r="B36" s="308" t="s">
        <v>57</v>
      </c>
      <c r="C36" s="234">
        <f>212+313</f>
        <v>525</v>
      </c>
      <c r="D36" s="301">
        <f>SUM(B36:C36)</f>
        <v>525</v>
      </c>
      <c r="E36" s="307"/>
    </row>
    <row r="37" spans="1:6" ht="19.5" customHeight="1">
      <c r="A37" s="304" t="s">
        <v>14</v>
      </c>
      <c r="B37" s="305">
        <f>SUM(B35:B36)</f>
        <v>11</v>
      </c>
      <c r="C37" s="305">
        <f>SUM(C35:C36)</f>
        <v>534</v>
      </c>
      <c r="D37" s="306">
        <f>SUM(D35:D36)</f>
        <v>545</v>
      </c>
      <c r="E37" s="307"/>
      <c r="F37" s="412"/>
    </row>
    <row r="38" spans="1:6" ht="9" customHeight="1">
      <c r="A38" s="236"/>
      <c r="E38" s="307"/>
    </row>
    <row r="39" spans="1:6" ht="18" customHeight="1">
      <c r="A39" s="472" t="s">
        <v>112</v>
      </c>
      <c r="B39" s="473"/>
      <c r="C39" s="473"/>
      <c r="D39" s="474"/>
      <c r="E39" s="307"/>
    </row>
    <row r="40" spans="1:6" ht="27.95" customHeight="1">
      <c r="A40" s="298" t="s">
        <v>81</v>
      </c>
      <c r="B40" s="299" t="str">
        <f>B34</f>
        <v>Realizado Regulação**</v>
      </c>
      <c r="C40" s="299" t="str">
        <f>C34</f>
        <v>Agenda Interna</v>
      </c>
      <c r="D40" s="300" t="s">
        <v>14</v>
      </c>
      <c r="E40" s="307"/>
    </row>
    <row r="41" spans="1:6" ht="19.5" customHeight="1">
      <c r="A41" s="303" t="s">
        <v>113</v>
      </c>
      <c r="B41" s="234">
        <v>2</v>
      </c>
      <c r="C41" s="234">
        <v>4</v>
      </c>
      <c r="D41" s="301">
        <f>SUM(B41:C41)</f>
        <v>6</v>
      </c>
      <c r="E41" s="307"/>
    </row>
    <row r="42" spans="1:6" ht="19.5" customHeight="1">
      <c r="A42" s="236" t="s">
        <v>114</v>
      </c>
      <c r="B42" s="308" t="s">
        <v>57</v>
      </c>
      <c r="C42" s="234">
        <v>147</v>
      </c>
      <c r="D42" s="301">
        <f>SUM(B42:C42)</f>
        <v>147</v>
      </c>
      <c r="E42" s="307"/>
    </row>
    <row r="43" spans="1:6" ht="19.5" customHeight="1">
      <c r="A43" s="236" t="s">
        <v>115</v>
      </c>
      <c r="B43" s="308" t="s">
        <v>57</v>
      </c>
      <c r="C43" s="234">
        <v>18</v>
      </c>
      <c r="D43" s="301">
        <f>SUM(B43:C43)</f>
        <v>18</v>
      </c>
      <c r="E43" s="307"/>
    </row>
    <row r="44" spans="1:6" ht="19.5" customHeight="1">
      <c r="A44" s="236" t="s">
        <v>116</v>
      </c>
      <c r="B44" s="308" t="s">
        <v>57</v>
      </c>
      <c r="C44" s="234">
        <v>142</v>
      </c>
      <c r="D44" s="301">
        <f>SUM(B44:C44)</f>
        <v>142</v>
      </c>
      <c r="E44" s="307"/>
    </row>
    <row r="45" spans="1:6" ht="19.5" customHeight="1">
      <c r="A45" s="304" t="s">
        <v>14</v>
      </c>
      <c r="B45" s="305">
        <f>SUM(B41:B44)</f>
        <v>2</v>
      </c>
      <c r="C45" s="305">
        <f>SUM(C41:C44)</f>
        <v>311</v>
      </c>
      <c r="D45" s="306">
        <f>SUM(D41:D44)</f>
        <v>313</v>
      </c>
      <c r="E45" s="309"/>
    </row>
    <row r="46" spans="1:6" ht="19.5" customHeight="1">
      <c r="A46" s="236"/>
    </row>
    <row r="47" spans="1:6" ht="19.5" customHeight="1">
      <c r="A47" s="448" t="s">
        <v>117</v>
      </c>
      <c r="B47" s="449"/>
      <c r="C47" s="449"/>
      <c r="D47" s="449"/>
      <c r="E47" s="450"/>
    </row>
    <row r="48" spans="1:6" ht="19.5" customHeight="1">
      <c r="A48" s="463" t="s">
        <v>118</v>
      </c>
      <c r="B48" s="465"/>
      <c r="C48" s="465"/>
      <c r="D48" s="465"/>
      <c r="E48" s="464"/>
    </row>
    <row r="49" spans="1:5" ht="18.95" customHeight="1">
      <c r="A49" s="310"/>
      <c r="B49" s="311"/>
      <c r="C49" s="311"/>
      <c r="D49" s="312"/>
      <c r="E49" s="258"/>
    </row>
    <row r="50" spans="1:5" ht="84" customHeight="1">
      <c r="A50" s="313" t="s">
        <v>81</v>
      </c>
      <c r="B50" s="314" t="s">
        <v>119</v>
      </c>
      <c r="C50" s="314" t="s">
        <v>120</v>
      </c>
      <c r="D50" s="315" t="s">
        <v>121</v>
      </c>
      <c r="E50" s="316" t="s">
        <v>122</v>
      </c>
    </row>
    <row r="51" spans="1:5" ht="19.5" customHeight="1">
      <c r="A51" s="236" t="s">
        <v>86</v>
      </c>
      <c r="B51" s="234">
        <v>140</v>
      </c>
      <c r="C51" s="234">
        <v>128</v>
      </c>
      <c r="D51" s="234">
        <v>111</v>
      </c>
      <c r="E51" s="317">
        <f>C51-D51</f>
        <v>17</v>
      </c>
    </row>
    <row r="52" spans="1:5" ht="19.5" customHeight="1">
      <c r="A52" s="236" t="s">
        <v>87</v>
      </c>
      <c r="B52" s="234">
        <v>60</v>
      </c>
      <c r="C52" s="234">
        <v>28</v>
      </c>
      <c r="D52" s="234">
        <v>25</v>
      </c>
      <c r="E52" s="317">
        <f t="shared" ref="E52:E57" si="1">C52-D52</f>
        <v>3</v>
      </c>
    </row>
    <row r="53" spans="1:5" ht="19.5" customHeight="1">
      <c r="A53" s="236" t="s">
        <v>88</v>
      </c>
      <c r="B53" s="302">
        <v>75</v>
      </c>
      <c r="C53" s="302">
        <v>67</v>
      </c>
      <c r="D53" s="302">
        <v>60</v>
      </c>
      <c r="E53" s="317">
        <f t="shared" si="1"/>
        <v>7</v>
      </c>
    </row>
    <row r="54" spans="1:5" ht="19.5" customHeight="1">
      <c r="A54" s="236" t="s">
        <v>90</v>
      </c>
      <c r="B54" s="234">
        <v>35</v>
      </c>
      <c r="C54" s="234">
        <v>35</v>
      </c>
      <c r="D54" s="234">
        <v>28</v>
      </c>
      <c r="E54" s="317">
        <f t="shared" si="1"/>
        <v>7</v>
      </c>
    </row>
    <row r="55" spans="1:5" ht="19.5" customHeight="1">
      <c r="A55" s="236" t="s">
        <v>91</v>
      </c>
      <c r="B55" s="252">
        <v>25</v>
      </c>
      <c r="C55" s="252">
        <v>22</v>
      </c>
      <c r="D55" s="252">
        <v>0</v>
      </c>
      <c r="E55" s="317">
        <f t="shared" si="1"/>
        <v>22</v>
      </c>
    </row>
    <row r="56" spans="1:5" ht="19.5" customHeight="1">
      <c r="A56" s="236" t="s">
        <v>92</v>
      </c>
      <c r="B56" s="252">
        <v>16</v>
      </c>
      <c r="C56" s="252">
        <v>16</v>
      </c>
      <c r="D56" s="252">
        <v>17</v>
      </c>
      <c r="E56" s="317">
        <f t="shared" si="1"/>
        <v>-1</v>
      </c>
    </row>
    <row r="57" spans="1:5" ht="19.5" customHeight="1">
      <c r="A57" s="303" t="s">
        <v>93</v>
      </c>
      <c r="B57" s="234">
        <v>8</v>
      </c>
      <c r="C57" s="234">
        <v>8</v>
      </c>
      <c r="D57" s="234">
        <v>6</v>
      </c>
      <c r="E57" s="317">
        <f t="shared" si="1"/>
        <v>2</v>
      </c>
    </row>
    <row r="58" spans="1:5" ht="19.5" customHeight="1">
      <c r="A58" s="236" t="s">
        <v>95</v>
      </c>
      <c r="B58" s="234">
        <v>0</v>
      </c>
      <c r="C58" s="234">
        <v>0</v>
      </c>
      <c r="D58" s="234">
        <v>0</v>
      </c>
      <c r="E58" s="317">
        <f>C58-D58</f>
        <v>0</v>
      </c>
    </row>
    <row r="59" spans="1:5" ht="19.5" customHeight="1">
      <c r="A59" s="236" t="s">
        <v>96</v>
      </c>
      <c r="B59" s="234">
        <v>25</v>
      </c>
      <c r="C59" s="234">
        <v>25</v>
      </c>
      <c r="D59" s="234">
        <v>17</v>
      </c>
      <c r="E59" s="317">
        <f>C59-D59</f>
        <v>8</v>
      </c>
    </row>
    <row r="60" spans="1:5" ht="19.5" customHeight="1">
      <c r="A60" s="236" t="s">
        <v>97</v>
      </c>
      <c r="B60" s="234">
        <v>300</v>
      </c>
      <c r="C60" s="234">
        <v>276</v>
      </c>
      <c r="D60" s="234">
        <v>245</v>
      </c>
      <c r="E60" s="317">
        <f>C60-D60</f>
        <v>31</v>
      </c>
    </row>
    <row r="61" spans="1:5" ht="19.5" customHeight="1">
      <c r="A61" s="236" t="s">
        <v>123</v>
      </c>
      <c r="B61" s="234">
        <v>132</v>
      </c>
      <c r="C61" s="234">
        <v>107</v>
      </c>
      <c r="D61" s="234">
        <v>91</v>
      </c>
      <c r="E61" s="317">
        <f>C61-D61</f>
        <v>16</v>
      </c>
    </row>
    <row r="62" spans="1:5" ht="19.5" customHeight="1">
      <c r="A62" s="236" t="s">
        <v>100</v>
      </c>
      <c r="B62" s="234">
        <v>276</v>
      </c>
      <c r="C62" s="234">
        <v>58</v>
      </c>
      <c r="D62" s="234">
        <v>50</v>
      </c>
      <c r="E62" s="317">
        <f t="shared" ref="E62:E67" si="2">C62-D62</f>
        <v>8</v>
      </c>
    </row>
    <row r="63" spans="1:5" ht="19.5" customHeight="1">
      <c r="A63" s="236" t="s">
        <v>101</v>
      </c>
      <c r="B63" s="234">
        <v>100</v>
      </c>
      <c r="C63" s="234">
        <v>92</v>
      </c>
      <c r="D63" s="234">
        <v>84</v>
      </c>
      <c r="E63" s="317">
        <f t="shared" si="2"/>
        <v>8</v>
      </c>
    </row>
    <row r="64" spans="1:5" ht="19.5" customHeight="1">
      <c r="A64" s="236" t="s">
        <v>102</v>
      </c>
      <c r="B64" s="234">
        <v>25</v>
      </c>
      <c r="C64" s="234">
        <v>23</v>
      </c>
      <c r="D64" s="234">
        <v>14</v>
      </c>
      <c r="E64" s="317">
        <f t="shared" si="2"/>
        <v>9</v>
      </c>
    </row>
    <row r="65" spans="1:6" ht="19.5" customHeight="1">
      <c r="A65" s="282" t="s">
        <v>104</v>
      </c>
      <c r="B65" s="234">
        <v>10</v>
      </c>
      <c r="C65" s="234">
        <v>10</v>
      </c>
      <c r="D65" s="234">
        <v>7</v>
      </c>
      <c r="E65" s="317">
        <f t="shared" si="2"/>
        <v>3</v>
      </c>
    </row>
    <row r="66" spans="1:6" ht="19.5" customHeight="1">
      <c r="A66" s="236" t="s">
        <v>105</v>
      </c>
      <c r="B66" s="234">
        <v>15</v>
      </c>
      <c r="C66" s="234">
        <v>15</v>
      </c>
      <c r="D66" s="234">
        <v>13</v>
      </c>
      <c r="E66" s="317">
        <f t="shared" si="2"/>
        <v>2</v>
      </c>
    </row>
    <row r="67" spans="1:6" ht="19.5" customHeight="1">
      <c r="A67" s="303" t="s">
        <v>106</v>
      </c>
      <c r="B67" s="234">
        <v>31</v>
      </c>
      <c r="C67" s="234">
        <v>24</v>
      </c>
      <c r="D67" s="234">
        <v>29</v>
      </c>
      <c r="E67" s="317">
        <f t="shared" si="2"/>
        <v>-5</v>
      </c>
      <c r="F67" s="233" t="s">
        <v>498</v>
      </c>
    </row>
    <row r="68" spans="1:6" ht="19.5" customHeight="1">
      <c r="A68" s="304" t="s">
        <v>14</v>
      </c>
      <c r="B68" s="305">
        <f>SUM(B51:B67)</f>
        <v>1273</v>
      </c>
      <c r="C68" s="305">
        <f>SUM(C51:C67)</f>
        <v>934</v>
      </c>
      <c r="D68" s="305">
        <f>SUM(D51:D67)</f>
        <v>797</v>
      </c>
      <c r="E68" s="306">
        <f>SUM(E51:E67)</f>
        <v>137</v>
      </c>
    </row>
    <row r="69" spans="1:6" ht="19.5" customHeight="1">
      <c r="A69" s="236"/>
      <c r="D69" s="234"/>
      <c r="E69" s="307"/>
    </row>
    <row r="70" spans="1:6" ht="19.5" customHeight="1">
      <c r="A70" s="466" t="s">
        <v>124</v>
      </c>
      <c r="B70" s="467"/>
      <c r="C70" s="467"/>
      <c r="D70" s="467"/>
      <c r="E70" s="468"/>
    </row>
    <row r="71" spans="1:6" ht="104.1" customHeight="1">
      <c r="A71" s="298" t="s">
        <v>81</v>
      </c>
      <c r="B71" s="299" t="str">
        <f>B50</f>
        <v>Nº de Consultas disponibilizadas para Regulação</v>
      </c>
      <c r="C71" s="299" t="str">
        <f>C50</f>
        <v>Nº de Consultas agendadas com os pacientes oriundos da Regulação</v>
      </c>
      <c r="D71" s="299" t="str">
        <f>D50</f>
        <v>Nº de Consultas Realizadas com os pacientes oriundos da Regulação**</v>
      </c>
      <c r="E71" s="318" t="str">
        <f>E50</f>
        <v>Nº de Pacientes Faltantes oriundos do agendamento da Regulação</v>
      </c>
    </row>
    <row r="72" spans="1:6" ht="51" customHeight="1">
      <c r="A72" s="303" t="s">
        <v>110</v>
      </c>
      <c r="B72" s="234">
        <v>36</v>
      </c>
      <c r="C72" s="234">
        <v>15</v>
      </c>
      <c r="D72" s="234">
        <v>11</v>
      </c>
      <c r="E72" s="317">
        <f>C72-D72</f>
        <v>4</v>
      </c>
    </row>
    <row r="73" spans="1:6" ht="19.5" customHeight="1">
      <c r="A73" s="304" t="s">
        <v>14</v>
      </c>
      <c r="B73" s="305">
        <f>SUM(B72:B72)</f>
        <v>36</v>
      </c>
      <c r="C73" s="305">
        <f>SUM(C72:C72)</f>
        <v>15</v>
      </c>
      <c r="D73" s="305">
        <f>SUM(D72:D72)</f>
        <v>11</v>
      </c>
      <c r="E73" s="306">
        <f>SUM(E72:E72)</f>
        <v>4</v>
      </c>
    </row>
    <row r="74" spans="1:6" ht="19.5" customHeight="1">
      <c r="A74" s="236"/>
      <c r="E74" s="307"/>
    </row>
    <row r="75" spans="1:6" ht="19.5" customHeight="1">
      <c r="A75" s="466" t="s">
        <v>125</v>
      </c>
      <c r="B75" s="467"/>
      <c r="C75" s="467"/>
      <c r="D75" s="467"/>
      <c r="E75" s="468"/>
    </row>
    <row r="76" spans="1:6" ht="90" customHeight="1">
      <c r="A76" s="298" t="s">
        <v>81</v>
      </c>
      <c r="B76" s="299" t="str">
        <f>B71</f>
        <v>Nº de Consultas disponibilizadas para Regulação</v>
      </c>
      <c r="C76" s="299" t="str">
        <f>C71</f>
        <v>Nº de Consultas agendadas com os pacientes oriundos da Regulação</v>
      </c>
      <c r="D76" s="299" t="str">
        <f>D71</f>
        <v>Nº de Consultas Realizadas com os pacientes oriundos da Regulação**</v>
      </c>
      <c r="E76" s="318" t="str">
        <f>E71</f>
        <v>Nº de Pacientes Faltantes oriundos do agendamento da Regulação</v>
      </c>
    </row>
    <row r="77" spans="1:6" ht="19.5" customHeight="1">
      <c r="A77" s="303" t="s">
        <v>113</v>
      </c>
      <c r="B77" s="234">
        <v>3</v>
      </c>
      <c r="C77" s="234">
        <v>3</v>
      </c>
      <c r="D77" s="234">
        <v>2</v>
      </c>
      <c r="E77" s="317">
        <f>C77-D77</f>
        <v>1</v>
      </c>
    </row>
    <row r="78" spans="1:6" ht="19.5" customHeight="1">
      <c r="A78" s="304" t="s">
        <v>14</v>
      </c>
      <c r="B78" s="305">
        <f>SUM(B77:B77)</f>
        <v>3</v>
      </c>
      <c r="C78" s="305">
        <f>SUM(C77:C77)</f>
        <v>3</v>
      </c>
      <c r="D78" s="305">
        <f>SUM(D77:D77)</f>
        <v>2</v>
      </c>
      <c r="E78" s="306">
        <f>SUM(E77:E77)</f>
        <v>1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view="pageBreakPreview" zoomScaleNormal="100" workbookViewId="0">
      <selection activeCell="D16" sqref="D16"/>
    </sheetView>
  </sheetViews>
  <sheetFormatPr defaultColWidth="28" defaultRowHeight="18" customHeight="1"/>
  <cols>
    <col min="1" max="1" width="30.85546875" style="233" customWidth="1"/>
    <col min="2" max="2" width="14.7109375" style="233" customWidth="1"/>
    <col min="3" max="3" width="18.28515625" style="233" customWidth="1"/>
    <col min="4" max="4" width="22.5703125" style="233" customWidth="1"/>
    <col min="5" max="16384" width="28" style="233"/>
  </cols>
  <sheetData>
    <row r="1" spans="1:15" ht="19.5" customHeight="1">
      <c r="A1" s="495" t="s">
        <v>126</v>
      </c>
      <c r="B1" s="496"/>
      <c r="C1" s="496"/>
      <c r="D1" s="496"/>
      <c r="E1" s="496"/>
      <c r="F1" s="496"/>
      <c r="G1" s="235"/>
      <c r="H1" s="235"/>
      <c r="I1" s="235"/>
      <c r="J1" s="235"/>
      <c r="K1" s="235"/>
      <c r="L1" s="235"/>
      <c r="M1" s="266"/>
      <c r="N1" s="267"/>
      <c r="O1" s="267"/>
    </row>
    <row r="2" spans="1:15" ht="18" customHeight="1">
      <c r="A2" s="236"/>
    </row>
    <row r="3" spans="1:15" ht="18" customHeight="1">
      <c r="A3" s="237" t="s">
        <v>6</v>
      </c>
      <c r="B3" s="446" t="s">
        <v>3</v>
      </c>
      <c r="C3" s="446"/>
      <c r="D3" s="446"/>
    </row>
    <row r="4" spans="1:15" ht="18" customHeight="1">
      <c r="A4" s="237" t="s">
        <v>7</v>
      </c>
      <c r="B4" s="447">
        <f>Ambulatorio!B4</f>
        <v>46054</v>
      </c>
      <c r="C4" s="447"/>
      <c r="D4" s="447"/>
    </row>
    <row r="6" spans="1:15" ht="18" customHeight="1">
      <c r="A6" s="448" t="s">
        <v>127</v>
      </c>
      <c r="B6" s="449"/>
      <c r="C6" s="449"/>
      <c r="D6" s="450"/>
    </row>
    <row r="7" spans="1:15" ht="48" customHeight="1">
      <c r="A7" s="268"/>
      <c r="B7" s="269" t="s">
        <v>128</v>
      </c>
      <c r="C7" s="269" t="s">
        <v>129</v>
      </c>
      <c r="D7" s="270" t="s">
        <v>130</v>
      </c>
    </row>
    <row r="8" spans="1:15" ht="18" customHeight="1">
      <c r="A8" s="271" t="s">
        <v>131</v>
      </c>
      <c r="B8" s="234">
        <v>67</v>
      </c>
      <c r="C8" s="234">
        <v>34</v>
      </c>
      <c r="D8" s="272">
        <f>SUM(B8:C8)</f>
        <v>101</v>
      </c>
    </row>
    <row r="9" spans="1:15" ht="18" customHeight="1">
      <c r="A9" s="271" t="s">
        <v>132</v>
      </c>
      <c r="B9" s="234">
        <v>190</v>
      </c>
      <c r="C9" s="234">
        <v>16</v>
      </c>
      <c r="D9" s="272">
        <f t="shared" ref="D9:D15" si="0">SUM(B9:C9)</f>
        <v>206</v>
      </c>
    </row>
    <row r="10" spans="1:15" ht="18" customHeight="1">
      <c r="A10" s="271" t="s">
        <v>133</v>
      </c>
      <c r="B10" s="234">
        <v>0</v>
      </c>
      <c r="C10" s="234">
        <v>1156</v>
      </c>
      <c r="D10" s="272">
        <f t="shared" si="0"/>
        <v>1156</v>
      </c>
    </row>
    <row r="11" spans="1:15" ht="18" customHeight="1">
      <c r="A11" s="271" t="s">
        <v>134</v>
      </c>
      <c r="B11" s="234">
        <v>178</v>
      </c>
      <c r="C11" s="234">
        <v>18</v>
      </c>
      <c r="D11" s="272">
        <f t="shared" si="0"/>
        <v>196</v>
      </c>
    </row>
    <row r="12" spans="1:15" ht="18" customHeight="1">
      <c r="A12" s="271" t="s">
        <v>135</v>
      </c>
      <c r="B12" s="234">
        <v>787</v>
      </c>
      <c r="C12" s="234">
        <v>344</v>
      </c>
      <c r="D12" s="272">
        <f t="shared" si="0"/>
        <v>1131</v>
      </c>
    </row>
    <row r="13" spans="1:15" ht="18" customHeight="1">
      <c r="A13" s="271" t="s">
        <v>136</v>
      </c>
      <c r="B13" s="234">
        <v>4</v>
      </c>
      <c r="C13" s="234">
        <v>0</v>
      </c>
      <c r="D13" s="272">
        <f t="shared" si="0"/>
        <v>4</v>
      </c>
    </row>
    <row r="14" spans="1:15" ht="18" customHeight="1">
      <c r="A14" s="271" t="s">
        <v>137</v>
      </c>
      <c r="B14" s="234">
        <v>86</v>
      </c>
      <c r="C14" s="234">
        <v>420</v>
      </c>
      <c r="D14" s="272">
        <f t="shared" si="0"/>
        <v>506</v>
      </c>
    </row>
    <row r="15" spans="1:15" ht="18" customHeight="1">
      <c r="A15" s="271" t="s">
        <v>138</v>
      </c>
      <c r="B15" s="234">
        <v>366</v>
      </c>
      <c r="C15" s="234">
        <v>135</v>
      </c>
      <c r="D15" s="272">
        <f t="shared" si="0"/>
        <v>501</v>
      </c>
    </row>
    <row r="16" spans="1:15" ht="18" customHeight="1">
      <c r="A16" s="273" t="s">
        <v>14</v>
      </c>
      <c r="B16" s="274">
        <f>SUM(B8:B15)</f>
        <v>1678</v>
      </c>
      <c r="C16" s="274">
        <f>SUM(C8:C15)</f>
        <v>2123</v>
      </c>
      <c r="D16" s="275">
        <f>SUM(D8:D15)</f>
        <v>3801</v>
      </c>
    </row>
    <row r="17" spans="1:6" ht="57.95" customHeight="1">
      <c r="A17" s="497" t="s">
        <v>139</v>
      </c>
      <c r="B17" s="497"/>
      <c r="C17" s="497"/>
      <c r="D17" s="497"/>
    </row>
    <row r="18" spans="1:6" ht="15" customHeight="1">
      <c r="A18" s="276"/>
      <c r="B18" s="276"/>
      <c r="C18" s="276"/>
      <c r="D18" s="276"/>
    </row>
    <row r="19" spans="1:6" ht="15" customHeight="1">
      <c r="A19" s="490" t="s">
        <v>140</v>
      </c>
      <c r="B19" s="491"/>
      <c r="C19" s="491"/>
      <c r="D19" s="491"/>
      <c r="E19" s="491"/>
      <c r="F19" s="492"/>
    </row>
    <row r="20" spans="1:6" ht="15" customHeight="1">
      <c r="A20" s="484" t="s">
        <v>81</v>
      </c>
      <c r="B20" s="485"/>
      <c r="C20" s="482" t="s">
        <v>141</v>
      </c>
      <c r="D20" s="482" t="s">
        <v>142</v>
      </c>
      <c r="E20" s="482" t="s">
        <v>143</v>
      </c>
      <c r="F20" s="493" t="s">
        <v>144</v>
      </c>
    </row>
    <row r="21" spans="1:6" ht="32.1" customHeight="1">
      <c r="A21" s="486"/>
      <c r="B21" s="487"/>
      <c r="C21" s="483"/>
      <c r="D21" s="483"/>
      <c r="E21" s="483"/>
      <c r="F21" s="494"/>
    </row>
    <row r="22" spans="1:6" ht="15" customHeight="1">
      <c r="A22" s="475" t="str">
        <f>A8</f>
        <v>Colonoscopia</v>
      </c>
      <c r="B22" s="476"/>
      <c r="C22" s="277">
        <v>88</v>
      </c>
      <c r="D22" s="277">
        <v>76</v>
      </c>
      <c r="E22" s="277">
        <v>67</v>
      </c>
      <c r="F22" s="278">
        <f>D22-E22</f>
        <v>9</v>
      </c>
    </row>
    <row r="23" spans="1:6" ht="15" customHeight="1">
      <c r="A23" s="475" t="str">
        <f t="shared" ref="A23:A30" si="1">A9</f>
        <v>Endoscopia</v>
      </c>
      <c r="B23" s="476"/>
      <c r="C23" s="277">
        <v>226</v>
      </c>
      <c r="D23" s="277">
        <v>213</v>
      </c>
      <c r="E23" s="277">
        <v>190</v>
      </c>
      <c r="F23" s="278">
        <f t="shared" ref="F23:F29" si="2">D23-E23</f>
        <v>23</v>
      </c>
    </row>
    <row r="24" spans="1:6" ht="15" customHeight="1">
      <c r="A24" s="475" t="str">
        <f t="shared" si="1"/>
        <v>Exames de Anatomia Patológica</v>
      </c>
      <c r="B24" s="476"/>
      <c r="C24" s="277">
        <v>0</v>
      </c>
      <c r="D24" s="277">
        <v>0</v>
      </c>
      <c r="E24" s="277">
        <v>0</v>
      </c>
      <c r="F24" s="278">
        <f t="shared" si="2"/>
        <v>0</v>
      </c>
    </row>
    <row r="25" spans="1:6" ht="15" customHeight="1">
      <c r="A25" s="475" t="str">
        <f t="shared" si="1"/>
        <v>Mamografia</v>
      </c>
      <c r="B25" s="476"/>
      <c r="C25" s="277">
        <v>220</v>
      </c>
      <c r="D25" s="277">
        <v>209</v>
      </c>
      <c r="E25" s="277">
        <v>178</v>
      </c>
      <c r="F25" s="278">
        <f t="shared" si="2"/>
        <v>31</v>
      </c>
    </row>
    <row r="26" spans="1:6" ht="15" customHeight="1">
      <c r="A26" s="475" t="str">
        <f t="shared" si="1"/>
        <v>Radiologia</v>
      </c>
      <c r="B26" s="476"/>
      <c r="C26" s="277">
        <v>1000</v>
      </c>
      <c r="D26" s="277">
        <v>862</v>
      </c>
      <c r="E26" s="277">
        <v>787</v>
      </c>
      <c r="F26" s="278">
        <f t="shared" si="2"/>
        <v>75</v>
      </c>
    </row>
    <row r="27" spans="1:6" ht="15" customHeight="1">
      <c r="A27" s="475" t="str">
        <f t="shared" si="1"/>
        <v>Retinografia Colorida Binocular</v>
      </c>
      <c r="B27" s="476"/>
      <c r="C27" s="277">
        <v>6</v>
      </c>
      <c r="D27" s="277">
        <v>6</v>
      </c>
      <c r="E27" s="277">
        <v>4</v>
      </c>
      <c r="F27" s="278">
        <f t="shared" si="2"/>
        <v>2</v>
      </c>
    </row>
    <row r="28" spans="1:6" ht="15" customHeight="1">
      <c r="A28" s="475" t="str">
        <f t="shared" si="1"/>
        <v>Tomografia/Angiotomografia</v>
      </c>
      <c r="B28" s="476"/>
      <c r="C28" s="277">
        <v>140</v>
      </c>
      <c r="D28" s="277">
        <v>93</v>
      </c>
      <c r="E28" s="277">
        <v>86</v>
      </c>
      <c r="F28" s="278">
        <f t="shared" si="2"/>
        <v>7</v>
      </c>
    </row>
    <row r="29" spans="1:6" ht="15" customHeight="1">
      <c r="A29" s="475" t="str">
        <f t="shared" si="1"/>
        <v>Ultrassonografia</v>
      </c>
      <c r="B29" s="476"/>
      <c r="C29" s="277">
        <v>609</v>
      </c>
      <c r="D29" s="277">
        <v>432</v>
      </c>
      <c r="E29" s="277">
        <v>366</v>
      </c>
      <c r="F29" s="278">
        <f t="shared" si="2"/>
        <v>66</v>
      </c>
    </row>
    <row r="30" spans="1:6" ht="15" customHeight="1">
      <c r="A30" s="488" t="str">
        <f t="shared" si="1"/>
        <v>Total</v>
      </c>
      <c r="B30" s="489"/>
      <c r="C30" s="274">
        <f>SUM(C22:C29)</f>
        <v>2289</v>
      </c>
      <c r="D30" s="274">
        <f>SUM(D22:D29)</f>
        <v>1891</v>
      </c>
      <c r="E30" s="274">
        <f>SUM(E22:E29)</f>
        <v>1678</v>
      </c>
      <c r="F30" s="275">
        <f>SUM(F22:F29)</f>
        <v>213</v>
      </c>
    </row>
    <row r="31" spans="1:6" ht="15" customHeight="1">
      <c r="A31" s="475"/>
      <c r="B31" s="476"/>
      <c r="C31" s="276"/>
      <c r="D31" s="276"/>
    </row>
    <row r="32" spans="1:6" ht="18" customHeight="1">
      <c r="A32" s="477" t="s">
        <v>145</v>
      </c>
      <c r="B32" s="478"/>
      <c r="C32" s="478"/>
      <c r="D32" s="479"/>
    </row>
    <row r="33" spans="1:5" ht="18" customHeight="1">
      <c r="A33" s="279"/>
      <c r="B33" s="280"/>
      <c r="C33" s="280"/>
      <c r="D33" s="281" t="s">
        <v>146</v>
      </c>
    </row>
    <row r="34" spans="1:5" ht="18" customHeight="1">
      <c r="A34" s="282" t="s">
        <v>147</v>
      </c>
      <c r="B34" s="280"/>
      <c r="C34" s="280"/>
      <c r="D34" s="283">
        <v>0</v>
      </c>
    </row>
    <row r="35" spans="1:5" ht="18" customHeight="1">
      <c r="A35" s="282" t="s">
        <v>148</v>
      </c>
      <c r="B35" s="280"/>
      <c r="C35" s="280"/>
      <c r="D35" s="283">
        <v>297</v>
      </c>
    </row>
    <row r="36" spans="1:5" ht="18" customHeight="1">
      <c r="A36" s="282" t="s">
        <v>149</v>
      </c>
      <c r="B36" s="280"/>
      <c r="C36" s="280"/>
      <c r="D36" s="283">
        <v>3</v>
      </c>
    </row>
    <row r="37" spans="1:5" ht="18" customHeight="1">
      <c r="A37" s="282" t="s">
        <v>150</v>
      </c>
      <c r="B37" s="280"/>
      <c r="C37" s="280"/>
      <c r="D37" s="283">
        <v>19</v>
      </c>
    </row>
    <row r="38" spans="1:5" ht="18" customHeight="1">
      <c r="A38" s="282" t="s">
        <v>151</v>
      </c>
      <c r="B38" s="280"/>
      <c r="C38" s="280"/>
      <c r="D38" s="283">
        <v>0</v>
      </c>
      <c r="E38" s="284"/>
    </row>
    <row r="39" spans="1:5" ht="18" customHeight="1">
      <c r="A39" s="282" t="s">
        <v>152</v>
      </c>
      <c r="B39" s="280"/>
      <c r="C39" s="280"/>
      <c r="D39" s="285">
        <v>281</v>
      </c>
    </row>
    <row r="40" spans="1:5" ht="18" customHeight="1">
      <c r="A40" s="282" t="s">
        <v>153</v>
      </c>
      <c r="B40" s="280"/>
      <c r="C40" s="280"/>
      <c r="D40" s="260">
        <v>114</v>
      </c>
    </row>
    <row r="41" spans="1:5" ht="18" customHeight="1">
      <c r="A41" s="286" t="s">
        <v>154</v>
      </c>
      <c r="B41" s="287"/>
      <c r="C41" s="287"/>
      <c r="D41" s="288">
        <v>83</v>
      </c>
    </row>
    <row r="42" spans="1:5" ht="18" customHeight="1">
      <c r="A42" s="282" t="s">
        <v>155</v>
      </c>
      <c r="B42" s="280"/>
      <c r="C42" s="280"/>
      <c r="D42" s="260">
        <v>4926</v>
      </c>
    </row>
    <row r="43" spans="1:5" ht="18" customHeight="1">
      <c r="A43" s="289" t="s">
        <v>14</v>
      </c>
      <c r="B43" s="290"/>
      <c r="C43" s="290"/>
      <c r="D43" s="291">
        <f>SUM(D34:D42)</f>
        <v>5723</v>
      </c>
    </row>
    <row r="44" spans="1:5" ht="18" customHeight="1">
      <c r="A44" s="282"/>
      <c r="B44" s="280"/>
      <c r="C44" s="280"/>
      <c r="D44" s="292"/>
    </row>
    <row r="45" spans="1:5" ht="18" customHeight="1">
      <c r="A45" s="477" t="s">
        <v>156</v>
      </c>
      <c r="B45" s="478"/>
      <c r="C45" s="478"/>
      <c r="D45" s="479"/>
    </row>
    <row r="46" spans="1:5" ht="18" customHeight="1">
      <c r="A46" s="480"/>
      <c r="B46" s="481"/>
      <c r="C46" s="481"/>
      <c r="D46" s="281" t="s">
        <v>146</v>
      </c>
    </row>
    <row r="47" spans="1:5" ht="18" customHeight="1">
      <c r="A47" s="282" t="s">
        <v>147</v>
      </c>
      <c r="B47" s="280"/>
      <c r="C47" s="280"/>
      <c r="D47" s="260">
        <v>98</v>
      </c>
    </row>
    <row r="48" spans="1:5" ht="18" customHeight="1">
      <c r="A48" s="282" t="s">
        <v>148</v>
      </c>
      <c r="B48" s="280"/>
      <c r="C48" s="280"/>
      <c r="D48" s="410">
        <v>19</v>
      </c>
    </row>
    <row r="49" spans="1:5" ht="18" customHeight="1">
      <c r="A49" s="282" t="s">
        <v>149</v>
      </c>
      <c r="B49" s="280"/>
      <c r="C49" s="280"/>
      <c r="D49" s="410">
        <v>1</v>
      </c>
    </row>
    <row r="50" spans="1:5" ht="18" customHeight="1">
      <c r="A50" s="282" t="s">
        <v>150</v>
      </c>
      <c r="B50" s="280"/>
      <c r="C50" s="280"/>
      <c r="D50" s="260">
        <v>8</v>
      </c>
    </row>
    <row r="51" spans="1:5" ht="18" customHeight="1">
      <c r="A51" s="282" t="s">
        <v>151</v>
      </c>
      <c r="B51" s="280"/>
      <c r="C51" s="280"/>
      <c r="D51" s="260">
        <v>0</v>
      </c>
    </row>
    <row r="52" spans="1:5" ht="18" customHeight="1">
      <c r="A52" s="282" t="s">
        <v>152</v>
      </c>
      <c r="B52" s="280"/>
      <c r="C52" s="280"/>
      <c r="D52" s="283">
        <v>1035</v>
      </c>
    </row>
    <row r="53" spans="1:5" ht="18" customHeight="1">
      <c r="A53" s="282" t="s">
        <v>153</v>
      </c>
      <c r="B53" s="280"/>
      <c r="C53" s="280"/>
      <c r="D53" s="283">
        <v>757</v>
      </c>
    </row>
    <row r="54" spans="1:5" ht="18" customHeight="1">
      <c r="A54" s="286" t="s">
        <v>154</v>
      </c>
      <c r="B54" s="287"/>
      <c r="C54" s="287"/>
      <c r="D54" s="288">
        <v>133</v>
      </c>
    </row>
    <row r="55" spans="1:5" ht="18" customHeight="1">
      <c r="A55" s="282" t="s">
        <v>155</v>
      </c>
      <c r="B55" s="280"/>
      <c r="C55" s="280"/>
      <c r="D55" s="283">
        <v>7724</v>
      </c>
    </row>
    <row r="56" spans="1:5" ht="18" customHeight="1">
      <c r="A56" s="289" t="s">
        <v>14</v>
      </c>
      <c r="B56" s="290"/>
      <c r="C56" s="290"/>
      <c r="D56" s="291">
        <f>SUM(D47:D55)</f>
        <v>9775</v>
      </c>
    </row>
    <row r="57" spans="1:5" ht="18" customHeight="1">
      <c r="A57" s="282"/>
      <c r="B57" s="280"/>
      <c r="C57" s="280"/>
      <c r="D57" s="293"/>
    </row>
    <row r="58" spans="1:5" ht="18" customHeight="1">
      <c r="A58" s="282"/>
      <c r="B58" s="280"/>
      <c r="C58" s="280"/>
      <c r="D58" s="280"/>
    </row>
    <row r="60" spans="1:5" ht="18" customHeight="1">
      <c r="A60" s="282"/>
      <c r="B60" s="280"/>
      <c r="C60" s="280"/>
      <c r="D60" s="280"/>
    </row>
    <row r="64" spans="1:5" ht="48" customHeight="1">
      <c r="E64" s="294"/>
    </row>
    <row r="65" spans="5:5" ht="18" customHeight="1">
      <c r="E65" s="294"/>
    </row>
    <row r="74" spans="5:5" ht="60" customHeight="1"/>
  </sheetData>
  <mergeCells count="24">
    <mergeCell ref="A1:F1"/>
    <mergeCell ref="B3:D3"/>
    <mergeCell ref="B4:D4"/>
    <mergeCell ref="A6:D6"/>
    <mergeCell ref="A17:D17"/>
    <mergeCell ref="A19:F19"/>
    <mergeCell ref="A22:B22"/>
    <mergeCell ref="A23:B23"/>
    <mergeCell ref="A24:B24"/>
    <mergeCell ref="A25:B25"/>
    <mergeCell ref="E20:E21"/>
    <mergeCell ref="F20:F21"/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78"/>
  <sheetViews>
    <sheetView view="pageBreakPreview" zoomScaleNormal="100" zoomScaleSheetLayoutView="100" zoomScalePageLayoutView="80" workbookViewId="0">
      <selection activeCell="C23" sqref="C23"/>
    </sheetView>
  </sheetViews>
  <sheetFormatPr defaultColWidth="9.140625" defaultRowHeight="19.5" customHeight="1"/>
  <cols>
    <col min="1" max="1" width="16.7109375" style="233" customWidth="1"/>
    <col min="2" max="2" width="45" style="233" customWidth="1"/>
    <col min="3" max="3" width="20.5703125" style="234" customWidth="1"/>
    <col min="4" max="4" width="7.7109375" style="233" customWidth="1"/>
    <col min="5" max="16384" width="9.140625" style="233"/>
  </cols>
  <sheetData>
    <row r="1" spans="1:12" ht="19.5" customHeight="1">
      <c r="A1" s="432" t="s">
        <v>157</v>
      </c>
      <c r="B1" s="433"/>
      <c r="C1" s="433"/>
      <c r="D1" s="235"/>
      <c r="E1" s="235"/>
      <c r="F1" s="235"/>
      <c r="G1" s="235"/>
      <c r="H1" s="235"/>
      <c r="I1" s="235"/>
      <c r="J1" s="266"/>
      <c r="K1" s="267"/>
      <c r="L1" s="267"/>
    </row>
    <row r="2" spans="1:12" ht="19.5" customHeight="1">
      <c r="A2" s="236"/>
    </row>
    <row r="3" spans="1:12" ht="19.5" customHeight="1">
      <c r="A3" s="237" t="s">
        <v>6</v>
      </c>
      <c r="B3" s="528" t="s">
        <v>3</v>
      </c>
      <c r="C3" s="528"/>
    </row>
    <row r="4" spans="1:12" ht="19.5" customHeight="1">
      <c r="A4" s="237" t="s">
        <v>7</v>
      </c>
      <c r="B4" s="447">
        <v>46054</v>
      </c>
      <c r="C4" s="447"/>
    </row>
    <row r="5" spans="1:12" ht="19.5" customHeight="1">
      <c r="A5" s="236"/>
    </row>
    <row r="6" spans="1:12" ht="19.5" customHeight="1">
      <c r="A6" s="529" t="s">
        <v>158</v>
      </c>
      <c r="B6" s="530"/>
      <c r="C6" s="531"/>
    </row>
    <row r="7" spans="1:12" ht="19.5" customHeight="1">
      <c r="A7" s="532"/>
      <c r="B7" s="533"/>
      <c r="C7" s="239" t="s">
        <v>42</v>
      </c>
    </row>
    <row r="8" spans="1:12" ht="19.5" customHeight="1">
      <c r="A8" s="526" t="s">
        <v>159</v>
      </c>
      <c r="B8" s="527"/>
      <c r="C8" s="240">
        <f>SUM(C142)</f>
        <v>426</v>
      </c>
    </row>
    <row r="9" spans="1:12" ht="19.5" customHeight="1">
      <c r="A9" s="526" t="s">
        <v>160</v>
      </c>
      <c r="B9" s="527"/>
      <c r="C9" s="240">
        <f>SUM(C172)</f>
        <v>67</v>
      </c>
    </row>
    <row r="10" spans="1:12" ht="19.5" customHeight="1">
      <c r="A10" s="520" t="s">
        <v>161</v>
      </c>
      <c r="B10" s="521"/>
      <c r="C10" s="241">
        <f>SUM(C8:C9)</f>
        <v>493</v>
      </c>
    </row>
    <row r="11" spans="1:12" ht="19.5" customHeight="1">
      <c r="A11" s="242"/>
      <c r="B11" s="243"/>
      <c r="C11" s="243"/>
    </row>
    <row r="12" spans="1:12" ht="19.5" customHeight="1">
      <c r="A12" s="505" t="s">
        <v>162</v>
      </c>
      <c r="B12" s="506"/>
      <c r="C12" s="507"/>
    </row>
    <row r="13" spans="1:12" ht="19.5" customHeight="1">
      <c r="A13" s="508"/>
      <c r="B13" s="509"/>
      <c r="C13" s="244" t="s">
        <v>42</v>
      </c>
    </row>
    <row r="14" spans="1:12" ht="19.5" customHeight="1">
      <c r="A14" s="518" t="s">
        <v>163</v>
      </c>
      <c r="B14" s="519"/>
      <c r="C14" s="245">
        <v>110</v>
      </c>
    </row>
    <row r="15" spans="1:12" ht="19.5" customHeight="1">
      <c r="A15" s="518" t="s">
        <v>164</v>
      </c>
      <c r="B15" s="519"/>
      <c r="C15" s="245">
        <v>383</v>
      </c>
    </row>
    <row r="16" spans="1:12" ht="19.5" customHeight="1">
      <c r="A16" s="520" t="s">
        <v>161</v>
      </c>
      <c r="B16" s="521"/>
      <c r="C16" s="246">
        <f>SUM(C14:C15)</f>
        <v>493</v>
      </c>
      <c r="D16" s="247" t="str">
        <f>IF(C16=C10,"ok","rever")</f>
        <v>ok</v>
      </c>
    </row>
    <row r="17" spans="1:3" ht="48.95" customHeight="1">
      <c r="A17" s="522" t="s">
        <v>165</v>
      </c>
      <c r="B17" s="523"/>
      <c r="C17" s="523"/>
    </row>
    <row r="18" spans="1:3" ht="19.5" customHeight="1">
      <c r="A18" s="524"/>
      <c r="B18" s="525"/>
      <c r="C18" s="248"/>
    </row>
    <row r="19" spans="1:3" ht="19.5" customHeight="1">
      <c r="A19" s="434" t="s">
        <v>166</v>
      </c>
      <c r="B19" s="435"/>
      <c r="C19" s="436"/>
    </row>
    <row r="20" spans="1:3" ht="19.5" customHeight="1">
      <c r="A20" s="512"/>
      <c r="B20" s="513"/>
      <c r="C20" s="249" t="s">
        <v>42</v>
      </c>
    </row>
    <row r="21" spans="1:3" ht="19.5" customHeight="1">
      <c r="A21" s="514" t="s">
        <v>167</v>
      </c>
      <c r="B21" s="515"/>
      <c r="C21" s="250">
        <f>C14/C16</f>
        <v>0.2231237322515213</v>
      </c>
    </row>
    <row r="22" spans="1:3" ht="19.5" customHeight="1">
      <c r="A22" s="516" t="s">
        <v>168</v>
      </c>
      <c r="B22" s="517"/>
      <c r="C22" s="251">
        <f>C15/C16</f>
        <v>0.77687626774847873</v>
      </c>
    </row>
    <row r="23" spans="1:3" ht="19.5" customHeight="1">
      <c r="A23" s="452"/>
      <c r="B23" s="452"/>
      <c r="C23" s="249"/>
    </row>
    <row r="24" spans="1:3" ht="19.5" customHeight="1">
      <c r="A24" s="505" t="s">
        <v>169</v>
      </c>
      <c r="B24" s="506"/>
      <c r="C24" s="507"/>
    </row>
    <row r="25" spans="1:3" ht="19.5" customHeight="1">
      <c r="A25" s="508"/>
      <c r="B25" s="509"/>
      <c r="C25" s="244" t="s">
        <v>42</v>
      </c>
    </row>
    <row r="26" spans="1:3" ht="19.5" customHeight="1">
      <c r="A26" s="510" t="s">
        <v>170</v>
      </c>
      <c r="B26" s="511"/>
      <c r="C26" s="253">
        <v>4</v>
      </c>
    </row>
    <row r="27" spans="1:3" ht="19.5" customHeight="1">
      <c r="A27" s="252"/>
      <c r="B27" s="252"/>
      <c r="C27" s="254"/>
    </row>
    <row r="29" spans="1:3" ht="19.5" customHeight="1">
      <c r="A29" s="505" t="s">
        <v>171</v>
      </c>
      <c r="B29" s="506"/>
      <c r="C29" s="507"/>
    </row>
    <row r="30" spans="1:3" ht="19.5" customHeight="1">
      <c r="A30" s="255" t="s">
        <v>172</v>
      </c>
      <c r="B30" s="256" t="s">
        <v>173</v>
      </c>
      <c r="C30" s="257" t="s">
        <v>42</v>
      </c>
    </row>
    <row r="31" spans="1:3" ht="19.5" customHeight="1">
      <c r="A31" s="397" t="s">
        <v>550</v>
      </c>
      <c r="B31" s="398" t="s">
        <v>574</v>
      </c>
      <c r="C31" s="396">
        <v>54</v>
      </c>
    </row>
    <row r="32" spans="1:3" ht="19.5" customHeight="1">
      <c r="A32" s="397" t="s">
        <v>551</v>
      </c>
      <c r="B32" s="398" t="s">
        <v>575</v>
      </c>
      <c r="C32" s="396">
        <v>32</v>
      </c>
    </row>
    <row r="33" spans="1:3" ht="19.5" customHeight="1">
      <c r="A33" s="397" t="s">
        <v>552</v>
      </c>
      <c r="B33" s="398" t="s">
        <v>576</v>
      </c>
      <c r="C33" s="396">
        <v>23</v>
      </c>
    </row>
    <row r="34" spans="1:3" ht="19.5" customHeight="1">
      <c r="A34" s="397" t="s">
        <v>553</v>
      </c>
      <c r="B34" s="398" t="s">
        <v>577</v>
      </c>
      <c r="C34" s="396">
        <v>18</v>
      </c>
    </row>
    <row r="35" spans="1:3" ht="18.75" customHeight="1">
      <c r="A35" s="397" t="s">
        <v>554</v>
      </c>
      <c r="B35" s="398" t="s">
        <v>578</v>
      </c>
      <c r="C35" s="396">
        <v>18</v>
      </c>
    </row>
    <row r="36" spans="1:3" ht="19.5" customHeight="1">
      <c r="A36" s="397" t="s">
        <v>555</v>
      </c>
      <c r="B36" s="398" t="s">
        <v>579</v>
      </c>
      <c r="C36" s="396">
        <v>16</v>
      </c>
    </row>
    <row r="37" spans="1:3" ht="19.5" customHeight="1">
      <c r="A37" s="397" t="s">
        <v>556</v>
      </c>
      <c r="B37" s="398" t="s">
        <v>580</v>
      </c>
      <c r="C37" s="396">
        <v>12</v>
      </c>
    </row>
    <row r="38" spans="1:3" ht="19.5" customHeight="1">
      <c r="A38" s="397" t="s">
        <v>557</v>
      </c>
      <c r="B38" s="398" t="s">
        <v>581</v>
      </c>
      <c r="C38" s="396">
        <v>10</v>
      </c>
    </row>
    <row r="39" spans="1:3" ht="19.5" customHeight="1">
      <c r="A39" s="397" t="s">
        <v>558</v>
      </c>
      <c r="B39" s="398" t="s">
        <v>582</v>
      </c>
      <c r="C39" s="396">
        <v>9</v>
      </c>
    </row>
    <row r="40" spans="1:3" ht="19.5" customHeight="1">
      <c r="A40" s="397" t="s">
        <v>559</v>
      </c>
      <c r="B40" s="398" t="s">
        <v>583</v>
      </c>
      <c r="C40" s="396">
        <v>9</v>
      </c>
    </row>
    <row r="41" spans="1:3" ht="19.5" customHeight="1">
      <c r="A41" s="397" t="s">
        <v>560</v>
      </c>
      <c r="B41" s="398" t="s">
        <v>584</v>
      </c>
      <c r="C41" s="396">
        <v>8</v>
      </c>
    </row>
    <row r="42" spans="1:3" ht="19.5" customHeight="1">
      <c r="A42" s="397" t="s">
        <v>561</v>
      </c>
      <c r="B42" s="398" t="s">
        <v>585</v>
      </c>
      <c r="C42" s="396">
        <v>8</v>
      </c>
    </row>
    <row r="43" spans="1:3" ht="28.5" customHeight="1">
      <c r="A43" s="397" t="s">
        <v>562</v>
      </c>
      <c r="B43" s="398" t="s">
        <v>586</v>
      </c>
      <c r="C43" s="396">
        <v>7</v>
      </c>
    </row>
    <row r="44" spans="1:3" ht="29.25" customHeight="1">
      <c r="A44" s="397" t="s">
        <v>563</v>
      </c>
      <c r="B44" s="398" t="s">
        <v>587</v>
      </c>
      <c r="C44" s="396">
        <v>7</v>
      </c>
    </row>
    <row r="45" spans="1:3" ht="19.5" customHeight="1">
      <c r="A45" s="397" t="s">
        <v>564</v>
      </c>
      <c r="B45" s="398" t="s">
        <v>588</v>
      </c>
      <c r="C45" s="396">
        <v>7</v>
      </c>
    </row>
    <row r="46" spans="1:3" ht="19.5" customHeight="1">
      <c r="A46" s="397" t="s">
        <v>565</v>
      </c>
      <c r="B46" s="398" t="s">
        <v>589</v>
      </c>
      <c r="C46" s="396">
        <v>7</v>
      </c>
    </row>
    <row r="47" spans="1:3" ht="19.5" customHeight="1">
      <c r="A47" s="397" t="s">
        <v>566</v>
      </c>
      <c r="B47" s="398" t="s">
        <v>590</v>
      </c>
      <c r="C47" s="396">
        <v>7</v>
      </c>
    </row>
    <row r="48" spans="1:3" ht="19.5" customHeight="1">
      <c r="A48" s="397" t="s">
        <v>567</v>
      </c>
      <c r="B48" s="398" t="s">
        <v>591</v>
      </c>
      <c r="C48" s="396">
        <v>6</v>
      </c>
    </row>
    <row r="49" spans="1:3" ht="19.5" customHeight="1">
      <c r="A49" s="397" t="s">
        <v>568</v>
      </c>
      <c r="B49" s="398" t="s">
        <v>592</v>
      </c>
      <c r="C49" s="396">
        <v>6</v>
      </c>
    </row>
    <row r="50" spans="1:3" ht="19.5" customHeight="1">
      <c r="A50" s="397" t="s">
        <v>569</v>
      </c>
      <c r="B50" s="398" t="s">
        <v>593</v>
      </c>
      <c r="C50" s="396">
        <v>5</v>
      </c>
    </row>
    <row r="51" spans="1:3" ht="19.5" customHeight="1">
      <c r="A51" s="397" t="s">
        <v>570</v>
      </c>
      <c r="B51" s="398" t="s">
        <v>594</v>
      </c>
      <c r="C51" s="396">
        <v>5</v>
      </c>
    </row>
    <row r="52" spans="1:3" ht="19.5" customHeight="1">
      <c r="A52" s="397" t="s">
        <v>571</v>
      </c>
      <c r="B52" s="398" t="s">
        <v>595</v>
      </c>
      <c r="C52" s="396">
        <v>5</v>
      </c>
    </row>
    <row r="53" spans="1:3" ht="19.5" customHeight="1">
      <c r="A53" s="397" t="s">
        <v>572</v>
      </c>
      <c r="B53" s="398" t="s">
        <v>596</v>
      </c>
      <c r="C53" s="396">
        <v>4</v>
      </c>
    </row>
    <row r="54" spans="1:3" ht="19.5" customHeight="1">
      <c r="A54" s="397" t="s">
        <v>573</v>
      </c>
      <c r="B54" s="398" t="s">
        <v>597</v>
      </c>
      <c r="C54" s="396">
        <v>4</v>
      </c>
    </row>
    <row r="55" spans="1:3" ht="19.5" customHeight="1">
      <c r="A55" s="397" t="s">
        <v>598</v>
      </c>
      <c r="B55" s="398" t="s">
        <v>626</v>
      </c>
      <c r="C55" s="396">
        <v>4</v>
      </c>
    </row>
    <row r="56" spans="1:3" ht="19.5" customHeight="1">
      <c r="A56" s="397" t="s">
        <v>599</v>
      </c>
      <c r="B56" s="398" t="s">
        <v>627</v>
      </c>
      <c r="C56" s="396">
        <v>4</v>
      </c>
    </row>
    <row r="57" spans="1:3" ht="19.5" customHeight="1">
      <c r="A57" s="397" t="s">
        <v>600</v>
      </c>
      <c r="B57" s="398" t="s">
        <v>628</v>
      </c>
      <c r="C57" s="396">
        <v>4</v>
      </c>
    </row>
    <row r="58" spans="1:3" ht="19.5" customHeight="1">
      <c r="A58" s="397" t="s">
        <v>601</v>
      </c>
      <c r="B58" s="398" t="s">
        <v>629</v>
      </c>
      <c r="C58" s="396">
        <v>4</v>
      </c>
    </row>
    <row r="59" spans="1:3" ht="19.5" customHeight="1">
      <c r="A59" s="397" t="s">
        <v>602</v>
      </c>
      <c r="B59" s="398" t="s">
        <v>630</v>
      </c>
      <c r="C59" s="396">
        <v>4</v>
      </c>
    </row>
    <row r="60" spans="1:3" ht="19.5" customHeight="1">
      <c r="A60" s="397" t="s">
        <v>603</v>
      </c>
      <c r="B60" s="398" t="s">
        <v>631</v>
      </c>
      <c r="C60" s="396">
        <v>3</v>
      </c>
    </row>
    <row r="61" spans="1:3" ht="19.5" customHeight="1">
      <c r="A61" s="397" t="s">
        <v>604</v>
      </c>
      <c r="B61" s="398" t="s">
        <v>632</v>
      </c>
      <c r="C61" s="396">
        <v>3</v>
      </c>
    </row>
    <row r="62" spans="1:3" ht="19.5" customHeight="1">
      <c r="A62" s="397" t="s">
        <v>605</v>
      </c>
      <c r="B62" s="398" t="s">
        <v>633</v>
      </c>
      <c r="C62" s="396">
        <v>3</v>
      </c>
    </row>
    <row r="63" spans="1:3" ht="19.5" customHeight="1">
      <c r="A63" s="397" t="s">
        <v>606</v>
      </c>
      <c r="B63" s="398" t="s">
        <v>634</v>
      </c>
      <c r="C63" s="396">
        <v>3</v>
      </c>
    </row>
    <row r="64" spans="1:3" ht="19.5" customHeight="1">
      <c r="A64" s="397" t="s">
        <v>607</v>
      </c>
      <c r="B64" s="398" t="s">
        <v>635</v>
      </c>
      <c r="C64" s="396">
        <v>3</v>
      </c>
    </row>
    <row r="65" spans="1:3" ht="19.5" customHeight="1">
      <c r="A65" s="397" t="s">
        <v>608</v>
      </c>
      <c r="B65" s="398" t="s">
        <v>636</v>
      </c>
      <c r="C65" s="396">
        <v>3</v>
      </c>
    </row>
    <row r="66" spans="1:3" ht="19.5" customHeight="1">
      <c r="A66" s="397" t="s">
        <v>609</v>
      </c>
      <c r="B66" s="398" t="s">
        <v>637</v>
      </c>
      <c r="C66" s="396">
        <v>3</v>
      </c>
    </row>
    <row r="67" spans="1:3" ht="19.5" customHeight="1">
      <c r="A67" s="397" t="s">
        <v>610</v>
      </c>
      <c r="B67" s="398" t="s">
        <v>638</v>
      </c>
      <c r="C67" s="396">
        <v>3</v>
      </c>
    </row>
    <row r="68" spans="1:3" ht="19.5" customHeight="1">
      <c r="A68" s="397" t="s">
        <v>611</v>
      </c>
      <c r="B68" s="398" t="s">
        <v>639</v>
      </c>
      <c r="C68" s="396">
        <v>3</v>
      </c>
    </row>
    <row r="69" spans="1:3" ht="19.5" customHeight="1">
      <c r="A69" s="397" t="s">
        <v>612</v>
      </c>
      <c r="B69" s="398" t="s">
        <v>640</v>
      </c>
      <c r="C69" s="396">
        <v>3</v>
      </c>
    </row>
    <row r="70" spans="1:3" ht="19.5" customHeight="1">
      <c r="A70" s="397" t="s">
        <v>613</v>
      </c>
      <c r="B70" s="398" t="s">
        <v>641</v>
      </c>
      <c r="C70" s="396">
        <v>3</v>
      </c>
    </row>
    <row r="71" spans="1:3" ht="19.5" customHeight="1">
      <c r="A71" s="397" t="s">
        <v>614</v>
      </c>
      <c r="B71" s="398" t="s">
        <v>642</v>
      </c>
      <c r="C71" s="396">
        <v>3</v>
      </c>
    </row>
    <row r="72" spans="1:3" ht="19.5" customHeight="1">
      <c r="A72" s="397" t="s">
        <v>615</v>
      </c>
      <c r="B72" s="398" t="s">
        <v>643</v>
      </c>
      <c r="C72" s="396">
        <v>2</v>
      </c>
    </row>
    <row r="73" spans="1:3" ht="19.5" customHeight="1">
      <c r="A73" s="397" t="s">
        <v>616</v>
      </c>
      <c r="B73" s="398" t="s">
        <v>644</v>
      </c>
      <c r="C73" s="396">
        <v>2</v>
      </c>
    </row>
    <row r="74" spans="1:3" ht="19.5" customHeight="1">
      <c r="A74" s="397" t="s">
        <v>617</v>
      </c>
      <c r="B74" s="398" t="s">
        <v>645</v>
      </c>
      <c r="C74" s="396">
        <v>2</v>
      </c>
    </row>
    <row r="75" spans="1:3" ht="19.5" customHeight="1">
      <c r="A75" s="397" t="s">
        <v>618</v>
      </c>
      <c r="B75" s="398" t="s">
        <v>646</v>
      </c>
      <c r="C75" s="396">
        <v>2</v>
      </c>
    </row>
    <row r="76" spans="1:3" ht="19.5" customHeight="1">
      <c r="A76" s="397" t="s">
        <v>619</v>
      </c>
      <c r="B76" s="398" t="s">
        <v>647</v>
      </c>
      <c r="C76" s="396">
        <v>2</v>
      </c>
    </row>
    <row r="77" spans="1:3" ht="19.5" customHeight="1">
      <c r="A77" s="397" t="s">
        <v>620</v>
      </c>
      <c r="B77" s="398" t="s">
        <v>648</v>
      </c>
      <c r="C77" s="396">
        <v>2</v>
      </c>
    </row>
    <row r="78" spans="1:3" ht="19.5" customHeight="1">
      <c r="A78" s="397" t="s">
        <v>621</v>
      </c>
      <c r="B78" s="398" t="s">
        <v>649</v>
      </c>
      <c r="C78" s="396">
        <v>2</v>
      </c>
    </row>
    <row r="79" spans="1:3" ht="19.5" customHeight="1">
      <c r="A79" s="397" t="s">
        <v>622</v>
      </c>
      <c r="B79" s="398" t="s">
        <v>650</v>
      </c>
      <c r="C79" s="396">
        <v>2</v>
      </c>
    </row>
    <row r="80" spans="1:3" ht="19.5" customHeight="1">
      <c r="A80" s="397" t="s">
        <v>623</v>
      </c>
      <c r="B80" s="398" t="s">
        <v>651</v>
      </c>
      <c r="C80" s="396">
        <v>2</v>
      </c>
    </row>
    <row r="81" spans="1:3" ht="19.5" customHeight="1">
      <c r="A81" s="397" t="s">
        <v>624</v>
      </c>
      <c r="B81" s="398" t="s">
        <v>652</v>
      </c>
      <c r="C81" s="396">
        <v>2</v>
      </c>
    </row>
    <row r="82" spans="1:3" ht="19.5" customHeight="1">
      <c r="A82" s="397" t="s">
        <v>625</v>
      </c>
      <c r="B82" s="398" t="s">
        <v>653</v>
      </c>
      <c r="C82" s="396">
        <v>2</v>
      </c>
    </row>
    <row r="83" spans="1:3" ht="19.5" customHeight="1">
      <c r="A83" s="397" t="s">
        <v>768</v>
      </c>
      <c r="B83" s="398" t="s">
        <v>769</v>
      </c>
      <c r="C83" s="396">
        <v>2</v>
      </c>
    </row>
    <row r="84" spans="1:3" ht="19.5" customHeight="1">
      <c r="A84" s="397" t="s">
        <v>770</v>
      </c>
      <c r="B84" s="398" t="s">
        <v>771</v>
      </c>
      <c r="C84" s="396">
        <v>2</v>
      </c>
    </row>
    <row r="85" spans="1:3" ht="19.5" customHeight="1">
      <c r="A85" s="397" t="s">
        <v>742</v>
      </c>
      <c r="B85" s="398" t="s">
        <v>755</v>
      </c>
      <c r="C85" s="396">
        <v>1</v>
      </c>
    </row>
    <row r="86" spans="1:3" ht="19.5" customHeight="1">
      <c r="A86" s="397" t="s">
        <v>743</v>
      </c>
      <c r="B86" s="398" t="s">
        <v>756</v>
      </c>
      <c r="C86" s="396">
        <v>1</v>
      </c>
    </row>
    <row r="87" spans="1:3" ht="19.5" customHeight="1">
      <c r="A87" s="397" t="s">
        <v>744</v>
      </c>
      <c r="B87" s="398" t="s">
        <v>757</v>
      </c>
      <c r="C87" s="396">
        <v>1</v>
      </c>
    </row>
    <row r="88" spans="1:3" ht="19.5" customHeight="1">
      <c r="A88" s="397" t="s">
        <v>745</v>
      </c>
      <c r="B88" s="398" t="s">
        <v>758</v>
      </c>
      <c r="C88" s="396">
        <v>1</v>
      </c>
    </row>
    <row r="89" spans="1:3" ht="19.5" customHeight="1">
      <c r="A89" s="397" t="s">
        <v>746</v>
      </c>
      <c r="B89" s="398" t="s">
        <v>759</v>
      </c>
      <c r="C89" s="396">
        <v>1</v>
      </c>
    </row>
    <row r="90" spans="1:3" ht="19.5" customHeight="1">
      <c r="A90" s="397" t="s">
        <v>747</v>
      </c>
      <c r="B90" s="398" t="s">
        <v>760</v>
      </c>
      <c r="C90" s="396">
        <v>1</v>
      </c>
    </row>
    <row r="91" spans="1:3" ht="19.5" customHeight="1">
      <c r="A91" s="397" t="s">
        <v>748</v>
      </c>
      <c r="B91" s="398" t="s">
        <v>761</v>
      </c>
      <c r="C91" s="396">
        <v>1</v>
      </c>
    </row>
    <row r="92" spans="1:3" ht="19.5" customHeight="1">
      <c r="A92" s="397" t="s">
        <v>749</v>
      </c>
      <c r="B92" s="398" t="s">
        <v>762</v>
      </c>
      <c r="C92" s="396">
        <v>1</v>
      </c>
    </row>
    <row r="93" spans="1:3" ht="19.5" customHeight="1">
      <c r="A93" s="397" t="s">
        <v>750</v>
      </c>
      <c r="B93" s="398" t="s">
        <v>763</v>
      </c>
      <c r="C93" s="396">
        <v>1</v>
      </c>
    </row>
    <row r="94" spans="1:3" ht="19.5" customHeight="1">
      <c r="A94" s="397" t="s">
        <v>751</v>
      </c>
      <c r="B94" s="398" t="s">
        <v>764</v>
      </c>
      <c r="C94" s="396">
        <v>1</v>
      </c>
    </row>
    <row r="95" spans="1:3" ht="19.5" customHeight="1">
      <c r="A95" s="397" t="s">
        <v>752</v>
      </c>
      <c r="B95" s="398" t="s">
        <v>765</v>
      </c>
      <c r="C95" s="396">
        <v>1</v>
      </c>
    </row>
    <row r="96" spans="1:3" ht="19.5" customHeight="1">
      <c r="A96" s="397" t="s">
        <v>753</v>
      </c>
      <c r="B96" s="398" t="s">
        <v>766</v>
      </c>
      <c r="C96" s="396">
        <v>1</v>
      </c>
    </row>
    <row r="97" spans="1:3" ht="19.5" customHeight="1">
      <c r="A97" s="397" t="s">
        <v>754</v>
      </c>
      <c r="B97" s="398" t="s">
        <v>767</v>
      </c>
      <c r="C97" s="396">
        <v>1</v>
      </c>
    </row>
    <row r="98" spans="1:3" ht="19.5" customHeight="1">
      <c r="A98" s="397" t="s">
        <v>654</v>
      </c>
      <c r="B98" s="398" t="s">
        <v>684</v>
      </c>
      <c r="C98" s="396">
        <v>1</v>
      </c>
    </row>
    <row r="99" spans="1:3" ht="19.5" customHeight="1">
      <c r="A99" s="397" t="s">
        <v>655</v>
      </c>
      <c r="B99" s="398" t="s">
        <v>685</v>
      </c>
      <c r="C99" s="396">
        <v>1</v>
      </c>
    </row>
    <row r="100" spans="1:3" ht="19.5" customHeight="1">
      <c r="A100" s="397" t="s">
        <v>656</v>
      </c>
      <c r="B100" s="398" t="s">
        <v>686</v>
      </c>
      <c r="C100" s="396">
        <v>1</v>
      </c>
    </row>
    <row r="101" spans="1:3" ht="19.5" customHeight="1">
      <c r="A101" s="397" t="s">
        <v>657</v>
      </c>
      <c r="B101" s="398" t="s">
        <v>687</v>
      </c>
      <c r="C101" s="396">
        <v>1</v>
      </c>
    </row>
    <row r="102" spans="1:3" ht="19.5" customHeight="1">
      <c r="A102" s="397" t="s">
        <v>658</v>
      </c>
      <c r="B102" s="398" t="s">
        <v>688</v>
      </c>
      <c r="C102" s="396">
        <v>1</v>
      </c>
    </row>
    <row r="103" spans="1:3" ht="19.5" customHeight="1">
      <c r="A103" s="397" t="s">
        <v>659</v>
      </c>
      <c r="B103" s="398" t="s">
        <v>689</v>
      </c>
      <c r="C103" s="396">
        <v>1</v>
      </c>
    </row>
    <row r="104" spans="1:3" ht="19.5" customHeight="1">
      <c r="A104" s="397" t="s">
        <v>660</v>
      </c>
      <c r="B104" s="398" t="s">
        <v>690</v>
      </c>
      <c r="C104" s="396">
        <v>1</v>
      </c>
    </row>
    <row r="105" spans="1:3" ht="19.5" customHeight="1">
      <c r="A105" s="397" t="s">
        <v>661</v>
      </c>
      <c r="B105" s="398" t="s">
        <v>691</v>
      </c>
      <c r="C105" s="396">
        <v>1</v>
      </c>
    </row>
    <row r="106" spans="1:3" ht="19.5" customHeight="1">
      <c r="A106" s="397" t="s">
        <v>662</v>
      </c>
      <c r="B106" s="398" t="s">
        <v>692</v>
      </c>
      <c r="C106" s="396">
        <v>1</v>
      </c>
    </row>
    <row r="107" spans="1:3" ht="19.5" customHeight="1">
      <c r="A107" s="397" t="s">
        <v>663</v>
      </c>
      <c r="B107" s="398" t="s">
        <v>693</v>
      </c>
      <c r="C107" s="396">
        <v>1</v>
      </c>
    </row>
    <row r="108" spans="1:3" ht="19.5" customHeight="1">
      <c r="A108" s="397" t="s">
        <v>664</v>
      </c>
      <c r="B108" s="398" t="s">
        <v>694</v>
      </c>
      <c r="C108" s="396">
        <v>1</v>
      </c>
    </row>
    <row r="109" spans="1:3" ht="19.5" customHeight="1">
      <c r="A109" s="397" t="s">
        <v>665</v>
      </c>
      <c r="B109" s="398" t="s">
        <v>695</v>
      </c>
      <c r="C109" s="396">
        <v>1</v>
      </c>
    </row>
    <row r="110" spans="1:3" ht="19.5" customHeight="1">
      <c r="A110" s="397" t="s">
        <v>666</v>
      </c>
      <c r="B110" s="398" t="s">
        <v>696</v>
      </c>
      <c r="C110" s="396">
        <v>1</v>
      </c>
    </row>
    <row r="111" spans="1:3" ht="19.5" customHeight="1">
      <c r="A111" s="397" t="s">
        <v>667</v>
      </c>
      <c r="B111" s="398" t="s">
        <v>697</v>
      </c>
      <c r="C111" s="396">
        <v>1</v>
      </c>
    </row>
    <row r="112" spans="1:3" ht="19.5" customHeight="1">
      <c r="A112" s="397" t="s">
        <v>668</v>
      </c>
      <c r="B112" s="398" t="s">
        <v>698</v>
      </c>
      <c r="C112" s="396">
        <v>1</v>
      </c>
    </row>
    <row r="113" spans="1:3" ht="19.5" customHeight="1">
      <c r="A113" s="397" t="s">
        <v>669</v>
      </c>
      <c r="B113" s="398" t="s">
        <v>699</v>
      </c>
      <c r="C113" s="396">
        <v>1</v>
      </c>
    </row>
    <row r="114" spans="1:3" ht="19.5" customHeight="1">
      <c r="A114" s="397" t="s">
        <v>670</v>
      </c>
      <c r="B114" s="398" t="s">
        <v>700</v>
      </c>
      <c r="C114" s="396">
        <v>1</v>
      </c>
    </row>
    <row r="115" spans="1:3" ht="19.5" customHeight="1">
      <c r="A115" s="397" t="s">
        <v>671</v>
      </c>
      <c r="B115" s="398" t="s">
        <v>701</v>
      </c>
      <c r="C115" s="396">
        <v>1</v>
      </c>
    </row>
    <row r="116" spans="1:3" ht="19.5" customHeight="1">
      <c r="A116" s="397" t="s">
        <v>672</v>
      </c>
      <c r="B116" s="398" t="s">
        <v>702</v>
      </c>
      <c r="C116" s="396">
        <v>1</v>
      </c>
    </row>
    <row r="117" spans="1:3" ht="19.5" customHeight="1">
      <c r="A117" s="397" t="s">
        <v>673</v>
      </c>
      <c r="B117" s="398" t="s">
        <v>703</v>
      </c>
      <c r="C117" s="396">
        <v>1</v>
      </c>
    </row>
    <row r="118" spans="1:3" ht="19.5" customHeight="1">
      <c r="A118" s="397" t="s">
        <v>674</v>
      </c>
      <c r="B118" s="398" t="s">
        <v>704</v>
      </c>
      <c r="C118" s="396">
        <v>1</v>
      </c>
    </row>
    <row r="119" spans="1:3" ht="19.5" customHeight="1">
      <c r="A119" s="397" t="s">
        <v>675</v>
      </c>
      <c r="B119" s="398" t="s">
        <v>705</v>
      </c>
      <c r="C119" s="396">
        <v>1</v>
      </c>
    </row>
    <row r="120" spans="1:3" ht="19.5" customHeight="1">
      <c r="A120" s="397" t="s">
        <v>676</v>
      </c>
      <c r="B120" s="398" t="s">
        <v>706</v>
      </c>
      <c r="C120" s="396">
        <v>1</v>
      </c>
    </row>
    <row r="121" spans="1:3" ht="19.5" customHeight="1">
      <c r="A121" s="397" t="s">
        <v>677</v>
      </c>
      <c r="B121" s="398" t="s">
        <v>707</v>
      </c>
      <c r="C121" s="396">
        <v>1</v>
      </c>
    </row>
    <row r="122" spans="1:3" ht="19.5" customHeight="1">
      <c r="A122" s="397" t="s">
        <v>678</v>
      </c>
      <c r="B122" s="398" t="s">
        <v>708</v>
      </c>
      <c r="C122" s="396">
        <v>1</v>
      </c>
    </row>
    <row r="123" spans="1:3" ht="19.5" customHeight="1">
      <c r="A123" s="397" t="s">
        <v>679</v>
      </c>
      <c r="B123" s="398" t="s">
        <v>709</v>
      </c>
      <c r="C123" s="396">
        <v>1</v>
      </c>
    </row>
    <row r="124" spans="1:3" ht="19.5" customHeight="1">
      <c r="A124" s="397" t="s">
        <v>680</v>
      </c>
      <c r="B124" s="398" t="s">
        <v>710</v>
      </c>
      <c r="C124" s="396">
        <v>1</v>
      </c>
    </row>
    <row r="125" spans="1:3" ht="19.5" customHeight="1">
      <c r="A125" s="397" t="s">
        <v>681</v>
      </c>
      <c r="B125" s="398" t="s">
        <v>711</v>
      </c>
      <c r="C125" s="396">
        <v>1</v>
      </c>
    </row>
    <row r="126" spans="1:3" ht="19.5" customHeight="1">
      <c r="A126" s="397" t="s">
        <v>682</v>
      </c>
      <c r="B126" s="398" t="s">
        <v>712</v>
      </c>
      <c r="C126" s="396">
        <v>1</v>
      </c>
    </row>
    <row r="127" spans="1:3" ht="19.5" customHeight="1">
      <c r="A127" s="397" t="s">
        <v>683</v>
      </c>
      <c r="B127" s="398" t="s">
        <v>713</v>
      </c>
      <c r="C127" s="396">
        <v>1</v>
      </c>
    </row>
    <row r="128" spans="1:3" ht="19.5" customHeight="1">
      <c r="A128" s="397" t="s">
        <v>714</v>
      </c>
      <c r="B128" s="398" t="s">
        <v>728</v>
      </c>
      <c r="C128" s="396">
        <v>1</v>
      </c>
    </row>
    <row r="129" spans="1:3" ht="19.5" customHeight="1">
      <c r="A129" s="397" t="s">
        <v>715</v>
      </c>
      <c r="B129" s="398" t="s">
        <v>729</v>
      </c>
      <c r="C129" s="396">
        <v>1</v>
      </c>
    </row>
    <row r="130" spans="1:3" ht="19.5" customHeight="1">
      <c r="A130" s="397" t="s">
        <v>716</v>
      </c>
      <c r="B130" s="398" t="s">
        <v>730</v>
      </c>
      <c r="C130" s="396">
        <v>1</v>
      </c>
    </row>
    <row r="131" spans="1:3" ht="19.5" customHeight="1">
      <c r="A131" s="397" t="s">
        <v>717</v>
      </c>
      <c r="B131" s="398" t="s">
        <v>731</v>
      </c>
      <c r="C131" s="396">
        <v>1</v>
      </c>
    </row>
    <row r="132" spans="1:3" ht="19.5" customHeight="1">
      <c r="A132" s="397" t="s">
        <v>718</v>
      </c>
      <c r="B132" s="398" t="s">
        <v>732</v>
      </c>
      <c r="C132" s="396">
        <v>1</v>
      </c>
    </row>
    <row r="133" spans="1:3" ht="19.5" customHeight="1">
      <c r="A133" s="397" t="s">
        <v>719</v>
      </c>
      <c r="B133" s="398" t="s">
        <v>733</v>
      </c>
      <c r="C133" s="396">
        <v>1</v>
      </c>
    </row>
    <row r="134" spans="1:3" ht="19.5" customHeight="1">
      <c r="A134" s="397" t="s">
        <v>720</v>
      </c>
      <c r="B134" s="398" t="s">
        <v>734</v>
      </c>
      <c r="C134" s="396">
        <v>1</v>
      </c>
    </row>
    <row r="135" spans="1:3" ht="19.5" customHeight="1">
      <c r="A135" s="397" t="s">
        <v>721</v>
      </c>
      <c r="B135" s="398" t="s">
        <v>735</v>
      </c>
      <c r="C135" s="396">
        <v>1</v>
      </c>
    </row>
    <row r="136" spans="1:3" ht="19.5" customHeight="1">
      <c r="A136" s="397" t="s">
        <v>722</v>
      </c>
      <c r="B136" s="398" t="s">
        <v>736</v>
      </c>
      <c r="C136" s="396">
        <v>1</v>
      </c>
    </row>
    <row r="137" spans="1:3" ht="19.5" customHeight="1">
      <c r="A137" s="397" t="s">
        <v>723</v>
      </c>
      <c r="B137" s="398" t="s">
        <v>737</v>
      </c>
      <c r="C137" s="396">
        <v>1</v>
      </c>
    </row>
    <row r="138" spans="1:3" ht="19.5" customHeight="1">
      <c r="A138" s="397" t="s">
        <v>724</v>
      </c>
      <c r="B138" s="398" t="s">
        <v>738</v>
      </c>
      <c r="C138" s="396">
        <v>1</v>
      </c>
    </row>
    <row r="139" spans="1:3" ht="19.5" customHeight="1">
      <c r="A139" s="397" t="s">
        <v>725</v>
      </c>
      <c r="B139" s="398" t="s">
        <v>739</v>
      </c>
      <c r="C139" s="396">
        <v>1</v>
      </c>
    </row>
    <row r="140" spans="1:3" ht="19.5" customHeight="1">
      <c r="A140" s="397" t="s">
        <v>726</v>
      </c>
      <c r="B140" s="398" t="s">
        <v>740</v>
      </c>
      <c r="C140" s="396">
        <v>1</v>
      </c>
    </row>
    <row r="141" spans="1:3" ht="19.5" customHeight="1">
      <c r="A141" s="397" t="s">
        <v>727</v>
      </c>
      <c r="B141" s="398" t="s">
        <v>741</v>
      </c>
      <c r="C141" s="396">
        <v>1</v>
      </c>
    </row>
    <row r="142" spans="1:3" ht="19.5" customHeight="1" thickBot="1">
      <c r="A142" s="501" t="s">
        <v>174</v>
      </c>
      <c r="B142" s="502"/>
      <c r="C142" s="399">
        <f>SUM(C31:C141)</f>
        <v>426</v>
      </c>
    </row>
    <row r="143" spans="1:3" ht="19.5" customHeight="1" thickBot="1">
      <c r="C143" s="233"/>
    </row>
    <row r="144" spans="1:3" ht="19.5" customHeight="1">
      <c r="A144" s="498" t="s">
        <v>175</v>
      </c>
      <c r="B144" s="499"/>
      <c r="C144" s="500"/>
    </row>
    <row r="145" spans="1:3" ht="19.5" customHeight="1">
      <c r="A145" s="394" t="s">
        <v>172</v>
      </c>
      <c r="B145" s="395" t="s">
        <v>173</v>
      </c>
      <c r="C145" s="395" t="s">
        <v>42</v>
      </c>
    </row>
    <row r="146" spans="1:3" ht="19.5" customHeight="1">
      <c r="A146" s="397" t="s">
        <v>499</v>
      </c>
      <c r="B146" s="398" t="s">
        <v>524</v>
      </c>
      <c r="C146" s="396">
        <v>18</v>
      </c>
    </row>
    <row r="147" spans="1:3" ht="19.5" customHeight="1">
      <c r="A147" s="397" t="s">
        <v>500</v>
      </c>
      <c r="B147" s="398" t="s">
        <v>525</v>
      </c>
      <c r="C147" s="396">
        <v>7</v>
      </c>
    </row>
    <row r="148" spans="1:3" ht="19.5" customHeight="1">
      <c r="A148" s="397" t="s">
        <v>501</v>
      </c>
      <c r="B148" s="398" t="s">
        <v>526</v>
      </c>
      <c r="C148" s="396">
        <v>7</v>
      </c>
    </row>
    <row r="149" spans="1:3" ht="19.5" customHeight="1">
      <c r="A149" s="397" t="s">
        <v>502</v>
      </c>
      <c r="B149" s="398" t="s">
        <v>527</v>
      </c>
      <c r="C149" s="396">
        <v>4</v>
      </c>
    </row>
    <row r="150" spans="1:3" ht="19.5" customHeight="1">
      <c r="A150" s="397" t="s">
        <v>503</v>
      </c>
      <c r="B150" s="398" t="s">
        <v>528</v>
      </c>
      <c r="C150" s="396">
        <v>3</v>
      </c>
    </row>
    <row r="151" spans="1:3" ht="19.5" customHeight="1">
      <c r="A151" s="397" t="s">
        <v>504</v>
      </c>
      <c r="B151" s="398" t="s">
        <v>529</v>
      </c>
      <c r="C151" s="396">
        <v>3</v>
      </c>
    </row>
    <row r="152" spans="1:3" ht="19.5" customHeight="1">
      <c r="A152" s="397" t="s">
        <v>505</v>
      </c>
      <c r="B152" s="398" t="s">
        <v>530</v>
      </c>
      <c r="C152" s="396">
        <v>2</v>
      </c>
    </row>
    <row r="153" spans="1:3" ht="19.5" customHeight="1">
      <c r="A153" s="397" t="s">
        <v>506</v>
      </c>
      <c r="B153" s="398" t="s">
        <v>531</v>
      </c>
      <c r="C153" s="396">
        <v>2</v>
      </c>
    </row>
    <row r="154" spans="1:3" ht="19.5" customHeight="1">
      <c r="A154" s="397" t="s">
        <v>507</v>
      </c>
      <c r="B154" s="398" t="s">
        <v>532</v>
      </c>
      <c r="C154" s="396">
        <v>2</v>
      </c>
    </row>
    <row r="155" spans="1:3" ht="19.5" customHeight="1">
      <c r="A155" s="397" t="s">
        <v>508</v>
      </c>
      <c r="B155" s="398" t="s">
        <v>533</v>
      </c>
      <c r="C155" s="396">
        <v>2</v>
      </c>
    </row>
    <row r="156" spans="1:3" ht="19.5" customHeight="1">
      <c r="A156" s="397" t="s">
        <v>509</v>
      </c>
      <c r="B156" s="398" t="s">
        <v>534</v>
      </c>
      <c r="C156" s="396">
        <v>2</v>
      </c>
    </row>
    <row r="157" spans="1:3" ht="19.5" customHeight="1">
      <c r="A157" s="397" t="s">
        <v>510</v>
      </c>
      <c r="B157" s="398" t="s">
        <v>535</v>
      </c>
      <c r="C157" s="396">
        <v>1</v>
      </c>
    </row>
    <row r="158" spans="1:3" ht="19.5" customHeight="1">
      <c r="A158" s="397" t="s">
        <v>511</v>
      </c>
      <c r="B158" s="398" t="s">
        <v>536</v>
      </c>
      <c r="C158" s="396">
        <v>1</v>
      </c>
    </row>
    <row r="159" spans="1:3" ht="19.5" customHeight="1">
      <c r="A159" s="397" t="s">
        <v>512</v>
      </c>
      <c r="B159" s="398" t="s">
        <v>537</v>
      </c>
      <c r="C159" s="396">
        <v>1</v>
      </c>
    </row>
    <row r="160" spans="1:3" ht="19.5" customHeight="1">
      <c r="A160" s="397" t="s">
        <v>513</v>
      </c>
      <c r="B160" s="398" t="s">
        <v>538</v>
      </c>
      <c r="C160" s="396">
        <v>1</v>
      </c>
    </row>
    <row r="161" spans="1:3" ht="19.5" customHeight="1">
      <c r="A161" s="397" t="s">
        <v>514</v>
      </c>
      <c r="B161" s="398" t="s">
        <v>539</v>
      </c>
      <c r="C161" s="396">
        <v>1</v>
      </c>
    </row>
    <row r="162" spans="1:3" ht="19.5" customHeight="1">
      <c r="A162" s="397" t="s">
        <v>515</v>
      </c>
      <c r="B162" s="398" t="s">
        <v>540</v>
      </c>
      <c r="C162" s="396">
        <v>1</v>
      </c>
    </row>
    <row r="163" spans="1:3" ht="19.5" customHeight="1">
      <c r="A163" s="397" t="s">
        <v>516</v>
      </c>
      <c r="B163" s="398" t="s">
        <v>541</v>
      </c>
      <c r="C163" s="396">
        <v>1</v>
      </c>
    </row>
    <row r="164" spans="1:3" ht="19.5" customHeight="1">
      <c r="A164" s="397" t="s">
        <v>516</v>
      </c>
      <c r="B164" s="398" t="s">
        <v>542</v>
      </c>
      <c r="C164" s="396">
        <v>1</v>
      </c>
    </row>
    <row r="165" spans="1:3" ht="19.5" customHeight="1">
      <c r="A165" s="397" t="s">
        <v>517</v>
      </c>
      <c r="B165" s="398" t="s">
        <v>543</v>
      </c>
      <c r="C165" s="396">
        <v>1</v>
      </c>
    </row>
    <row r="166" spans="1:3" ht="19.5" customHeight="1">
      <c r="A166" s="397" t="s">
        <v>518</v>
      </c>
      <c r="B166" s="398" t="s">
        <v>544</v>
      </c>
      <c r="C166" s="396">
        <v>1</v>
      </c>
    </row>
    <row r="167" spans="1:3" ht="19.5" customHeight="1">
      <c r="A167" s="397" t="s">
        <v>519</v>
      </c>
      <c r="B167" s="398" t="s">
        <v>545</v>
      </c>
      <c r="C167" s="396">
        <v>1</v>
      </c>
    </row>
    <row r="168" spans="1:3" ht="19.5" customHeight="1">
      <c r="A168" s="397" t="s">
        <v>520</v>
      </c>
      <c r="B168" s="398" t="s">
        <v>546</v>
      </c>
      <c r="C168" s="396">
        <v>1</v>
      </c>
    </row>
    <row r="169" spans="1:3" ht="19.5" customHeight="1">
      <c r="A169" s="397" t="s">
        <v>521</v>
      </c>
      <c r="B169" s="398" t="s">
        <v>547</v>
      </c>
      <c r="C169" s="396">
        <v>1</v>
      </c>
    </row>
    <row r="170" spans="1:3" ht="19.5" customHeight="1">
      <c r="A170" s="397" t="s">
        <v>522</v>
      </c>
      <c r="B170" s="398" t="s">
        <v>548</v>
      </c>
      <c r="C170" s="396">
        <v>1</v>
      </c>
    </row>
    <row r="171" spans="1:3" ht="19.5" customHeight="1">
      <c r="A171" s="397" t="s">
        <v>523</v>
      </c>
      <c r="B171" s="398" t="s">
        <v>549</v>
      </c>
      <c r="C171" s="396">
        <v>1</v>
      </c>
    </row>
    <row r="172" spans="1:3" ht="19.5" customHeight="1" thickBot="1">
      <c r="A172" s="501" t="s">
        <v>176</v>
      </c>
      <c r="B172" s="502"/>
      <c r="C172" s="246">
        <f>SUM(C146:C171)</f>
        <v>67</v>
      </c>
    </row>
    <row r="173" spans="1:3" ht="19.5" customHeight="1" thickBot="1">
      <c r="C173" s="233"/>
    </row>
    <row r="174" spans="1:3" ht="19.5" customHeight="1" thickBot="1">
      <c r="B174" s="503" t="s">
        <v>177</v>
      </c>
      <c r="C174" s="504"/>
    </row>
    <row r="175" spans="1:3" ht="19.5" customHeight="1" thickBot="1">
      <c r="B175" s="261"/>
      <c r="C175" s="262" t="s">
        <v>42</v>
      </c>
    </row>
    <row r="176" spans="1:3" ht="19.5" customHeight="1">
      <c r="B176" s="261" t="s">
        <v>178</v>
      </c>
      <c r="C176" s="263">
        <v>30</v>
      </c>
    </row>
    <row r="177" spans="2:3" ht="19.5" customHeight="1">
      <c r="B177" s="261" t="s">
        <v>179</v>
      </c>
      <c r="C177" s="263">
        <v>53</v>
      </c>
    </row>
    <row r="178" spans="2:3" ht="19.5" customHeight="1" thickBot="1">
      <c r="B178" s="264" t="s">
        <v>180</v>
      </c>
      <c r="C178" s="265">
        <f>C176+C177</f>
        <v>83</v>
      </c>
    </row>
  </sheetData>
  <mergeCells count="28">
    <mergeCell ref="A1:C1"/>
    <mergeCell ref="B3:C3"/>
    <mergeCell ref="B4:C4"/>
    <mergeCell ref="A6:C6"/>
    <mergeCell ref="A7:B7"/>
    <mergeCell ref="A8:B8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  <mergeCell ref="A19:C19"/>
    <mergeCell ref="A20:B20"/>
    <mergeCell ref="A21:B21"/>
    <mergeCell ref="A22:B22"/>
    <mergeCell ref="A23:B23"/>
    <mergeCell ref="A144:C144"/>
    <mergeCell ref="A172:B172"/>
    <mergeCell ref="B174:C174"/>
    <mergeCell ref="A24:C24"/>
    <mergeCell ref="A25:B25"/>
    <mergeCell ref="A26:B26"/>
    <mergeCell ref="A29:C29"/>
    <mergeCell ref="A142:B142"/>
  </mergeCells>
  <pageMargins left="0.511811024" right="0.511811024" top="0.78740157499999996" bottom="0.78740157499999996" header="0.31496062000000002" footer="0.31496062000000002"/>
  <pageSetup paperSize="9" scale="4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view="pageBreakPreview" topLeftCell="A34" zoomScale="80" zoomScaleNormal="80" zoomScalePageLayoutView="80" workbookViewId="0">
      <selection activeCell="C36" sqref="C36"/>
    </sheetView>
  </sheetViews>
  <sheetFormatPr defaultColWidth="9" defaultRowHeight="19.5" customHeight="1"/>
  <cols>
    <col min="1" max="1" width="46.140625" style="143" customWidth="1"/>
    <col min="2" max="2" width="18.5703125" style="144" customWidth="1"/>
    <col min="3" max="3" width="22.7109375" style="144" customWidth="1"/>
    <col min="4" max="4" width="29.140625" style="144" customWidth="1"/>
    <col min="5" max="5" width="19" style="144" customWidth="1"/>
    <col min="6" max="6" width="18.42578125" style="144" customWidth="1"/>
    <col min="7" max="7" width="21.42578125" style="144" customWidth="1"/>
    <col min="8" max="8" width="18.140625" style="144" customWidth="1"/>
    <col min="9" max="9" width="21.42578125" style="143" customWidth="1"/>
    <col min="10" max="16383" width="9.140625" style="143"/>
    <col min="16384" max="16384" width="9" style="143"/>
  </cols>
  <sheetData>
    <row r="1" spans="1:9" ht="32.1" customHeight="1">
      <c r="A1" s="572" t="s">
        <v>181</v>
      </c>
      <c r="B1" s="573"/>
      <c r="C1" s="573"/>
      <c r="D1" s="573"/>
      <c r="E1" s="573"/>
      <c r="F1" s="573"/>
      <c r="G1" s="573"/>
      <c r="H1" s="573"/>
      <c r="I1" s="573"/>
    </row>
    <row r="2" spans="1:9" ht="19.5" customHeight="1">
      <c r="A2" s="167"/>
      <c r="B2" s="168"/>
      <c r="C2" s="168"/>
      <c r="D2" s="168"/>
      <c r="E2" s="169"/>
      <c r="F2" s="169"/>
      <c r="G2" s="169"/>
      <c r="H2" s="169"/>
      <c r="I2" s="225"/>
    </row>
    <row r="3" spans="1:9" ht="19.5" customHeight="1">
      <c r="A3" s="170" t="s">
        <v>6</v>
      </c>
      <c r="B3" s="574" t="str">
        <f>Capa!D5</f>
        <v>HOSPITAL REGIONAL TEREZINHA GAIO BASSO</v>
      </c>
      <c r="C3" s="575"/>
      <c r="D3" s="575"/>
      <c r="E3" s="575"/>
      <c r="F3" s="169"/>
      <c r="G3" s="169"/>
      <c r="H3" s="169"/>
      <c r="I3" s="226"/>
    </row>
    <row r="4" spans="1:9" ht="19.5" customHeight="1">
      <c r="A4" s="170" t="s">
        <v>7</v>
      </c>
      <c r="B4" s="576">
        <f>Assistencial!B4</f>
        <v>46054</v>
      </c>
      <c r="C4" s="576"/>
      <c r="D4" s="169"/>
      <c r="E4" s="169"/>
      <c r="F4" s="169"/>
      <c r="G4" s="169"/>
      <c r="H4" s="169"/>
      <c r="I4" s="225"/>
    </row>
    <row r="5" spans="1:9" ht="23.1" customHeight="1">
      <c r="A5" s="171"/>
    </row>
    <row r="6" spans="1:9" ht="19.5" customHeight="1">
      <c r="A6" s="577" t="s">
        <v>182</v>
      </c>
      <c r="B6" s="578"/>
      <c r="C6" s="172" t="s">
        <v>42</v>
      </c>
    </row>
    <row r="7" spans="1:9" ht="19.5" customHeight="1">
      <c r="A7" s="579" t="s">
        <v>183</v>
      </c>
      <c r="B7" s="580"/>
      <c r="C7" s="173">
        <v>600</v>
      </c>
    </row>
    <row r="8" spans="1:9" ht="19.5" customHeight="1">
      <c r="A8" s="562" t="s">
        <v>184</v>
      </c>
      <c r="B8" s="563"/>
      <c r="C8" s="174">
        <f>B29</f>
        <v>603</v>
      </c>
    </row>
    <row r="9" spans="1:9" ht="19.5" customHeight="1">
      <c r="A9" s="171"/>
    </row>
    <row r="10" spans="1:9" ht="19.5" customHeight="1">
      <c r="A10" s="542" t="s">
        <v>185</v>
      </c>
      <c r="B10" s="547"/>
      <c r="C10" s="547"/>
      <c r="D10" s="547"/>
      <c r="E10" s="547"/>
      <c r="F10" s="543"/>
    </row>
    <row r="11" spans="1:9" ht="38.1" customHeight="1">
      <c r="A11" s="175"/>
      <c r="B11" s="564" t="s">
        <v>186</v>
      </c>
      <c r="C11" s="565"/>
      <c r="D11" s="566" t="s">
        <v>187</v>
      </c>
      <c r="E11" s="567"/>
      <c r="F11" s="177"/>
    </row>
    <row r="12" spans="1:9" ht="19.5" customHeight="1">
      <c r="A12" s="175"/>
      <c r="B12" s="568">
        <v>6</v>
      </c>
      <c r="C12" s="569"/>
      <c r="D12" s="570">
        <f>B12/B29</f>
        <v>9.9502487562189053E-3</v>
      </c>
      <c r="E12" s="571"/>
      <c r="F12" s="177"/>
    </row>
    <row r="13" spans="1:9" ht="19.5" customHeight="1">
      <c r="A13" s="178"/>
      <c r="F13" s="179"/>
    </row>
    <row r="14" spans="1:9" ht="19.5" customHeight="1">
      <c r="A14" s="180"/>
      <c r="B14" s="551" t="s">
        <v>188</v>
      </c>
      <c r="C14" s="552"/>
      <c r="D14" s="552"/>
      <c r="E14" s="552"/>
      <c r="F14" s="553"/>
    </row>
    <row r="15" spans="1:9" ht="57.95" customHeight="1">
      <c r="A15" s="181"/>
      <c r="B15" s="182" t="s">
        <v>189</v>
      </c>
      <c r="C15" s="183" t="s">
        <v>190</v>
      </c>
      <c r="D15" s="183" t="s">
        <v>191</v>
      </c>
      <c r="E15" s="183" t="s">
        <v>192</v>
      </c>
      <c r="F15" s="111" t="s">
        <v>193</v>
      </c>
    </row>
    <row r="16" spans="1:9" ht="19.5" customHeight="1">
      <c r="A16" s="148"/>
      <c r="B16" s="184">
        <v>4</v>
      </c>
      <c r="C16" s="185">
        <v>1</v>
      </c>
      <c r="D16" s="185">
        <v>180</v>
      </c>
      <c r="E16" s="185">
        <v>3</v>
      </c>
      <c r="F16" s="186">
        <v>96</v>
      </c>
    </row>
    <row r="17" spans="1:9" ht="19.5" customHeight="1">
      <c r="A17" s="180"/>
      <c r="B17" s="187"/>
      <c r="C17" s="187"/>
      <c r="D17" s="187"/>
      <c r="E17" s="187"/>
      <c r="F17" s="188"/>
    </row>
    <row r="18" spans="1:9" ht="19.5" customHeight="1">
      <c r="A18" s="180"/>
      <c r="B18" s="554" t="s">
        <v>194</v>
      </c>
      <c r="C18" s="555"/>
      <c r="D18" s="556"/>
      <c r="E18" s="187"/>
      <c r="F18" s="188"/>
    </row>
    <row r="19" spans="1:9" ht="19.5" customHeight="1">
      <c r="A19" s="178"/>
      <c r="B19" s="189" t="s">
        <v>195</v>
      </c>
      <c r="C19" s="190" t="s">
        <v>196</v>
      </c>
      <c r="D19" s="191" t="s">
        <v>197</v>
      </c>
      <c r="F19" s="192"/>
    </row>
    <row r="20" spans="1:9" ht="19.5" customHeight="1">
      <c r="A20" s="178"/>
      <c r="B20" s="193">
        <f>B16/Assistencial!I14*1000</f>
        <v>15.748031496062993</v>
      </c>
      <c r="C20" s="194">
        <f>C16/D16*1000</f>
        <v>5.5555555555555554</v>
      </c>
      <c r="D20" s="195">
        <f>F16/Assistencial!I14</f>
        <v>0.37795275590551181</v>
      </c>
      <c r="F20" s="192"/>
    </row>
    <row r="21" spans="1:9" ht="68.099999999999994" customHeight="1">
      <c r="A21" s="557" t="s">
        <v>198</v>
      </c>
      <c r="B21" s="558"/>
      <c r="C21" s="558"/>
      <c r="D21" s="558"/>
      <c r="E21" s="558"/>
      <c r="F21" s="559"/>
    </row>
    <row r="22" spans="1:9" ht="19.5" customHeight="1">
      <c r="A22" s="171"/>
    </row>
    <row r="23" spans="1:9" ht="19.5" customHeight="1">
      <c r="A23" s="171"/>
    </row>
    <row r="24" spans="1:9" ht="19.5" customHeight="1">
      <c r="A24" s="560" t="s">
        <v>199</v>
      </c>
      <c r="B24" s="561"/>
      <c r="C24" s="196"/>
      <c r="D24" s="542" t="s">
        <v>200</v>
      </c>
      <c r="E24" s="547"/>
      <c r="F24" s="547"/>
      <c r="G24" s="547"/>
      <c r="H24" s="547"/>
      <c r="I24" s="543"/>
    </row>
    <row r="25" spans="1:9" ht="51" customHeight="1">
      <c r="A25" s="197"/>
      <c r="B25" s="198" t="s">
        <v>42</v>
      </c>
      <c r="D25" s="199"/>
      <c r="E25" s="176" t="s">
        <v>201</v>
      </c>
      <c r="F25" s="176" t="s">
        <v>202</v>
      </c>
      <c r="G25" s="176" t="s">
        <v>203</v>
      </c>
      <c r="H25" s="176" t="s">
        <v>496</v>
      </c>
      <c r="I25" s="227" t="s">
        <v>497</v>
      </c>
    </row>
    <row r="26" spans="1:9" ht="39" customHeight="1">
      <c r="A26" s="200" t="s">
        <v>204</v>
      </c>
      <c r="B26" s="57">
        <v>23</v>
      </c>
      <c r="D26" s="197" t="s">
        <v>205</v>
      </c>
      <c r="E26" s="201">
        <v>146</v>
      </c>
      <c r="F26" s="201">
        <v>0</v>
      </c>
      <c r="G26" s="202">
        <f>F26/E26</f>
        <v>0</v>
      </c>
      <c r="H26" s="203">
        <v>147</v>
      </c>
      <c r="I26" s="228">
        <f>H26/H32</f>
        <v>0.3838120104438642</v>
      </c>
    </row>
    <row r="27" spans="1:9" ht="19.5" customHeight="1">
      <c r="A27" s="200" t="s">
        <v>206</v>
      </c>
      <c r="B27" s="57">
        <v>4</v>
      </c>
      <c r="D27" s="199" t="s">
        <v>207</v>
      </c>
      <c r="E27" s="59">
        <v>165</v>
      </c>
      <c r="F27" s="59">
        <v>0</v>
      </c>
      <c r="G27" s="204">
        <f>F27/E27</f>
        <v>0</v>
      </c>
      <c r="H27" s="152">
        <v>165</v>
      </c>
      <c r="I27" s="229">
        <f>H27/H32</f>
        <v>0.43080939947780678</v>
      </c>
    </row>
    <row r="28" spans="1:9" ht="30" customHeight="1">
      <c r="A28" s="199" t="s">
        <v>208</v>
      </c>
      <c r="B28" s="205">
        <f>E32</f>
        <v>382</v>
      </c>
      <c r="C28" s="143"/>
      <c r="D28" s="199" t="s">
        <v>209</v>
      </c>
      <c r="E28" s="59">
        <v>62</v>
      </c>
      <c r="F28" s="59">
        <v>3</v>
      </c>
      <c r="G28" s="204">
        <f>F28/E28</f>
        <v>4.8387096774193547E-2</v>
      </c>
      <c r="H28" s="152">
        <v>62</v>
      </c>
      <c r="I28" s="229">
        <f>H28/H32</f>
        <v>0.16187989556135771</v>
      </c>
    </row>
    <row r="29" spans="1:9" ht="24" customHeight="1">
      <c r="A29" s="206" t="s">
        <v>210</v>
      </c>
      <c r="B29" s="207">
        <f>Assistencial!F15</f>
        <v>603</v>
      </c>
      <c r="D29" s="199" t="s">
        <v>211</v>
      </c>
      <c r="E29" s="59">
        <v>7</v>
      </c>
      <c r="F29" s="59">
        <v>1</v>
      </c>
      <c r="G29" s="204">
        <f>F29/E29</f>
        <v>0.14285714285714285</v>
      </c>
      <c r="H29" s="152">
        <v>7</v>
      </c>
      <c r="I29" s="229">
        <f>H29/H32</f>
        <v>1.8276762402088774E-2</v>
      </c>
    </row>
    <row r="30" spans="1:9" ht="18.95" customHeight="1">
      <c r="A30" s="180"/>
      <c r="B30" s="143"/>
      <c r="D30" s="199" t="s">
        <v>212</v>
      </c>
      <c r="E30" s="59">
        <v>2</v>
      </c>
      <c r="F30" s="59">
        <v>0</v>
      </c>
      <c r="G30" s="204">
        <f>F30/E30</f>
        <v>0</v>
      </c>
      <c r="H30" s="152">
        <v>2</v>
      </c>
      <c r="I30" s="229">
        <f>H30/H32</f>
        <v>5.2219321148825066E-3</v>
      </c>
    </row>
    <row r="31" spans="1:9" ht="33" customHeight="1">
      <c r="A31" s="542" t="s">
        <v>213</v>
      </c>
      <c r="B31" s="543"/>
      <c r="C31" s="208"/>
      <c r="D31" s="206" t="s">
        <v>214</v>
      </c>
      <c r="E31" s="209">
        <v>0</v>
      </c>
      <c r="F31" s="210" t="s">
        <v>57</v>
      </c>
      <c r="G31" s="210" t="s">
        <v>57</v>
      </c>
      <c r="H31" s="210" t="s">
        <v>57</v>
      </c>
      <c r="I31" s="230" t="s">
        <v>57</v>
      </c>
    </row>
    <row r="32" spans="1:9" ht="18.95" customHeight="1">
      <c r="A32" s="199"/>
      <c r="B32" s="211" t="s">
        <v>215</v>
      </c>
      <c r="C32" s="208"/>
      <c r="D32" s="212" t="s">
        <v>14</v>
      </c>
      <c r="E32" s="213">
        <f>SUM(E26:E31)</f>
        <v>382</v>
      </c>
      <c r="F32" s="213">
        <f>SUM(F26:F30)</f>
        <v>4</v>
      </c>
      <c r="G32" s="214">
        <f>SUM(G26:G30)</f>
        <v>0.19124423963133641</v>
      </c>
      <c r="H32" s="213">
        <f>SUM(H26:H30)</f>
        <v>383</v>
      </c>
      <c r="I32" s="231">
        <f>SUM(I26:I30)</f>
        <v>1</v>
      </c>
    </row>
    <row r="33" spans="1:9" ht="45" customHeight="1">
      <c r="A33" s="215" t="s">
        <v>203</v>
      </c>
      <c r="B33" s="216">
        <f>B27/B28</f>
        <v>1.0471204188481676E-2</v>
      </c>
      <c r="C33" s="208"/>
      <c r="D33" s="538" t="s">
        <v>216</v>
      </c>
      <c r="E33" s="538"/>
      <c r="F33" s="538"/>
      <c r="G33" s="538"/>
      <c r="H33" s="538"/>
      <c r="I33" s="544"/>
    </row>
    <row r="34" spans="1:9" ht="18" customHeight="1">
      <c r="A34" s="180"/>
      <c r="C34" s="208"/>
      <c r="I34" s="179"/>
    </row>
    <row r="35" spans="1:9" ht="33" customHeight="1">
      <c r="A35" s="545" t="s">
        <v>217</v>
      </c>
      <c r="B35" s="546"/>
      <c r="C35" s="208"/>
      <c r="I35" s="179"/>
    </row>
    <row r="36" spans="1:9" ht="18.95" customHeight="1">
      <c r="A36" s="180"/>
      <c r="B36" s="217" t="s">
        <v>215</v>
      </c>
      <c r="C36" s="208"/>
      <c r="I36" s="179"/>
    </row>
    <row r="37" spans="1:9" ht="24.95" customHeight="1">
      <c r="A37" s="215" t="s">
        <v>218</v>
      </c>
      <c r="B37" s="216">
        <f>(B26/B29)</f>
        <v>3.8142620232172471E-2</v>
      </c>
      <c r="C37" s="208"/>
      <c r="I37" s="179"/>
    </row>
    <row r="38" spans="1:9" ht="24.95" customHeight="1">
      <c r="A38" s="180"/>
      <c r="C38" s="208"/>
      <c r="I38" s="179"/>
    </row>
    <row r="39" spans="1:9" ht="19.5" customHeight="1">
      <c r="A39" s="542" t="s">
        <v>219</v>
      </c>
      <c r="B39" s="547"/>
      <c r="C39" s="547"/>
      <c r="D39" s="547"/>
      <c r="E39" s="547"/>
      <c r="F39" s="547"/>
      <c r="G39" s="547"/>
      <c r="H39" s="543"/>
      <c r="I39" s="179"/>
    </row>
    <row r="40" spans="1:9" ht="19.5" customHeight="1">
      <c r="A40" s="199"/>
      <c r="B40" s="218" t="s">
        <v>220</v>
      </c>
      <c r="C40" s="218" t="s">
        <v>221</v>
      </c>
      <c r="D40" s="218" t="s">
        <v>222</v>
      </c>
      <c r="E40" s="218" t="s">
        <v>223</v>
      </c>
      <c r="F40" s="218" t="s">
        <v>224</v>
      </c>
      <c r="G40" s="218" t="s">
        <v>225</v>
      </c>
      <c r="H40" s="219" t="s">
        <v>226</v>
      </c>
      <c r="I40" s="179"/>
    </row>
    <row r="41" spans="1:9" ht="19.5" customHeight="1">
      <c r="A41" s="199" t="s">
        <v>227</v>
      </c>
      <c r="B41" s="59">
        <v>0</v>
      </c>
      <c r="C41" s="59">
        <v>0</v>
      </c>
      <c r="D41" s="59">
        <v>0</v>
      </c>
      <c r="E41" s="59">
        <v>0</v>
      </c>
      <c r="F41" s="59">
        <v>0</v>
      </c>
      <c r="G41" s="59">
        <v>0</v>
      </c>
      <c r="H41" s="57">
        <v>0</v>
      </c>
      <c r="I41" s="179"/>
    </row>
    <row r="42" spans="1:9" ht="19.5" customHeight="1">
      <c r="A42" s="199" t="s">
        <v>228</v>
      </c>
      <c r="B42" s="59">
        <v>0</v>
      </c>
      <c r="C42" s="59">
        <v>0</v>
      </c>
      <c r="D42" s="59">
        <v>0</v>
      </c>
      <c r="E42" s="59">
        <v>0</v>
      </c>
      <c r="F42" s="59">
        <v>0</v>
      </c>
      <c r="G42" s="59">
        <v>0</v>
      </c>
      <c r="H42" s="57">
        <v>0</v>
      </c>
      <c r="I42" s="179"/>
    </row>
    <row r="43" spans="1:9" ht="19.5" customHeight="1">
      <c r="A43" s="199" t="s">
        <v>229</v>
      </c>
      <c r="B43" s="59">
        <v>0</v>
      </c>
      <c r="C43" s="59">
        <v>0</v>
      </c>
      <c r="D43" s="59">
        <v>0</v>
      </c>
      <c r="E43" s="59">
        <v>0</v>
      </c>
      <c r="F43" s="59">
        <v>0</v>
      </c>
      <c r="G43" s="59">
        <v>0</v>
      </c>
      <c r="H43" s="57">
        <v>0</v>
      </c>
      <c r="I43" s="179"/>
    </row>
    <row r="44" spans="1:9" ht="19.5" customHeight="1">
      <c r="A44" s="199" t="s">
        <v>230</v>
      </c>
      <c r="B44" s="59">
        <v>0</v>
      </c>
      <c r="C44" s="59">
        <v>0</v>
      </c>
      <c r="D44" s="59">
        <v>0</v>
      </c>
      <c r="E44" s="59">
        <v>0</v>
      </c>
      <c r="F44" s="59">
        <v>0</v>
      </c>
      <c r="G44" s="59">
        <v>0</v>
      </c>
      <c r="H44" s="57">
        <v>0</v>
      </c>
      <c r="I44" s="179"/>
    </row>
    <row r="45" spans="1:9" ht="19.5" customHeight="1">
      <c r="A45" s="199" t="s">
        <v>231</v>
      </c>
      <c r="B45" s="59">
        <v>0</v>
      </c>
      <c r="C45" s="59">
        <v>0</v>
      </c>
      <c r="D45" s="59">
        <v>0</v>
      </c>
      <c r="E45" s="59">
        <v>0</v>
      </c>
      <c r="F45" s="59">
        <v>0</v>
      </c>
      <c r="G45" s="59">
        <v>0</v>
      </c>
      <c r="H45" s="57">
        <v>0</v>
      </c>
      <c r="I45" s="179"/>
    </row>
    <row r="46" spans="1:9" ht="19.5" customHeight="1">
      <c r="A46" s="199" t="s">
        <v>232</v>
      </c>
      <c r="B46" s="59">
        <v>0</v>
      </c>
      <c r="C46" s="59">
        <v>0</v>
      </c>
      <c r="D46" s="59">
        <v>0</v>
      </c>
      <c r="E46" s="59">
        <v>0</v>
      </c>
      <c r="F46" s="59">
        <v>0</v>
      </c>
      <c r="G46" s="59">
        <v>0</v>
      </c>
      <c r="H46" s="57">
        <v>0</v>
      </c>
      <c r="I46" s="179"/>
    </row>
    <row r="47" spans="1:9" ht="19.5" customHeight="1">
      <c r="A47" s="199" t="s">
        <v>233</v>
      </c>
      <c r="B47" s="59">
        <v>1</v>
      </c>
      <c r="C47" s="59">
        <v>1</v>
      </c>
      <c r="D47" s="59">
        <v>0</v>
      </c>
      <c r="E47" s="59">
        <v>0</v>
      </c>
      <c r="F47" s="59">
        <v>0</v>
      </c>
      <c r="G47" s="59">
        <v>0</v>
      </c>
      <c r="H47" s="57">
        <v>0</v>
      </c>
      <c r="I47" s="179"/>
    </row>
    <row r="48" spans="1:9" ht="19.5" customHeight="1">
      <c r="A48" s="199" t="s">
        <v>234</v>
      </c>
      <c r="B48" s="59">
        <v>1</v>
      </c>
      <c r="C48" s="59">
        <v>0</v>
      </c>
      <c r="D48" s="59">
        <v>1</v>
      </c>
      <c r="E48" s="59">
        <v>0</v>
      </c>
      <c r="F48" s="59">
        <v>0</v>
      </c>
      <c r="G48" s="59">
        <v>0</v>
      </c>
      <c r="H48" s="57">
        <v>0</v>
      </c>
      <c r="I48" s="179"/>
    </row>
    <row r="49" spans="1:9" ht="19.5" customHeight="1">
      <c r="A49" s="199" t="s">
        <v>235</v>
      </c>
      <c r="B49" s="59">
        <v>1</v>
      </c>
      <c r="C49" s="59">
        <v>0</v>
      </c>
      <c r="D49" s="59">
        <v>1</v>
      </c>
      <c r="E49" s="59">
        <v>0</v>
      </c>
      <c r="F49" s="59">
        <v>0</v>
      </c>
      <c r="G49" s="59">
        <v>0</v>
      </c>
      <c r="H49" s="57">
        <v>0</v>
      </c>
      <c r="I49" s="179"/>
    </row>
    <row r="50" spans="1:9" ht="19.5" customHeight="1">
      <c r="A50" s="199" t="s">
        <v>236</v>
      </c>
      <c r="B50" s="59">
        <v>78</v>
      </c>
      <c r="C50" s="59">
        <v>50</v>
      </c>
      <c r="D50" s="59">
        <v>24</v>
      </c>
      <c r="E50" s="59">
        <v>1</v>
      </c>
      <c r="F50" s="59">
        <v>0</v>
      </c>
      <c r="G50" s="59">
        <v>0</v>
      </c>
      <c r="H50" s="57">
        <v>0</v>
      </c>
      <c r="I50" s="179"/>
    </row>
    <row r="51" spans="1:9" ht="19.5" customHeight="1">
      <c r="A51" s="206" t="s">
        <v>14</v>
      </c>
      <c r="B51" s="220">
        <f>SUM(B41:B50)</f>
        <v>81</v>
      </c>
      <c r="C51" s="220">
        <f t="shared" ref="C51:H51" si="0">SUM(C41:C50)</f>
        <v>51</v>
      </c>
      <c r="D51" s="220">
        <f t="shared" si="0"/>
        <v>26</v>
      </c>
      <c r="E51" s="220">
        <f t="shared" si="0"/>
        <v>1</v>
      </c>
      <c r="F51" s="220">
        <f t="shared" si="0"/>
        <v>0</v>
      </c>
      <c r="G51" s="220">
        <f t="shared" si="0"/>
        <v>0</v>
      </c>
      <c r="H51" s="221">
        <f t="shared" si="0"/>
        <v>0</v>
      </c>
      <c r="I51" s="232"/>
    </row>
    <row r="52" spans="1:9" ht="19.5" customHeight="1">
      <c r="B52" s="143"/>
      <c r="C52" s="143"/>
      <c r="D52" s="143"/>
      <c r="E52" s="143"/>
      <c r="F52" s="143"/>
      <c r="G52" s="143"/>
      <c r="H52" s="143"/>
    </row>
    <row r="53" spans="1:9" ht="19.5" customHeight="1">
      <c r="A53"/>
      <c r="B53"/>
      <c r="C53"/>
      <c r="D53"/>
    </row>
    <row r="54" spans="1:9" ht="30" customHeight="1">
      <c r="A54" s="548" t="s">
        <v>237</v>
      </c>
      <c r="B54" s="549"/>
      <c r="C54" s="549"/>
      <c r="D54" s="550"/>
    </row>
    <row r="55" spans="1:9" ht="41.1" customHeight="1">
      <c r="A55" s="534" t="s">
        <v>238</v>
      </c>
      <c r="B55" s="535"/>
      <c r="C55" s="222">
        <v>1</v>
      </c>
      <c r="D55" s="540">
        <f>C55/C56</f>
        <v>2.7027027027027029E-2</v>
      </c>
    </row>
    <row r="56" spans="1:9" ht="33.950000000000003" customHeight="1">
      <c r="A56" s="536" t="s">
        <v>239</v>
      </c>
      <c r="B56" s="537"/>
      <c r="C56" s="223">
        <v>37</v>
      </c>
      <c r="D56" s="541"/>
    </row>
    <row r="57" spans="1:9" ht="80.099999999999994" customHeight="1">
      <c r="A57" s="538" t="s">
        <v>240</v>
      </c>
      <c r="B57" s="539"/>
      <c r="C57" s="539"/>
      <c r="D57" s="539"/>
      <c r="H57" s="224"/>
    </row>
    <row r="61" spans="1:9" ht="38.1" customHeight="1"/>
    <row r="62" spans="1:9" ht="27" customHeight="1"/>
    <row r="65" ht="29.1" customHeight="1"/>
    <row r="66" ht="26.1" customHeight="1"/>
  </sheetData>
  <mergeCells count="25">
    <mergeCell ref="A1:I1"/>
    <mergeCell ref="B3:E3"/>
    <mergeCell ref="B4:C4"/>
    <mergeCell ref="A6:B6"/>
    <mergeCell ref="A7:B7"/>
    <mergeCell ref="A8:B8"/>
    <mergeCell ref="A10:F10"/>
    <mergeCell ref="B11:C11"/>
    <mergeCell ref="D11:E11"/>
    <mergeCell ref="B12:C12"/>
    <mergeCell ref="D12:E12"/>
    <mergeCell ref="B14:F14"/>
    <mergeCell ref="B18:D18"/>
    <mergeCell ref="A21:F21"/>
    <mergeCell ref="A24:B24"/>
    <mergeCell ref="D24:I24"/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I10" sqref="I10"/>
    </sheetView>
  </sheetViews>
  <sheetFormatPr defaultColWidth="9" defaultRowHeight="17.25" customHeight="1"/>
  <cols>
    <col min="1" max="1" width="47.42578125" style="143" customWidth="1"/>
    <col min="2" max="2" width="20" style="144" customWidth="1"/>
    <col min="3" max="3" width="18.28515625" style="144" customWidth="1"/>
    <col min="4" max="4" width="17.85546875" style="144" customWidth="1"/>
    <col min="5" max="5" width="14.28515625" style="144" customWidth="1"/>
    <col min="6" max="6" width="18.7109375" style="144" customWidth="1"/>
    <col min="7" max="9" width="14.28515625" style="143" customWidth="1"/>
    <col min="10" max="10" width="16.85546875" style="143" customWidth="1"/>
    <col min="11" max="16383" width="9.140625" style="143"/>
    <col min="16384" max="16384" width="9" style="143"/>
  </cols>
  <sheetData>
    <row r="1" spans="1:10" s="142" customFormat="1" ht="17.25" customHeight="1">
      <c r="A1" s="590" t="s">
        <v>241</v>
      </c>
      <c r="B1" s="591"/>
      <c r="C1" s="591"/>
      <c r="D1" s="591"/>
      <c r="E1" s="591"/>
      <c r="F1" s="591"/>
      <c r="G1" s="591"/>
      <c r="H1" s="591"/>
      <c r="I1" s="591"/>
      <c r="J1" s="591"/>
    </row>
    <row r="2" spans="1:10" s="142" customFormat="1" ht="17.25" customHeight="1">
      <c r="A2" s="145"/>
      <c r="B2" s="146"/>
      <c r="C2" s="146"/>
      <c r="D2" s="146"/>
      <c r="E2" s="147"/>
      <c r="F2" s="147"/>
    </row>
    <row r="3" spans="1:10" s="142" customFormat="1" ht="17.25" customHeight="1">
      <c r="A3" s="148" t="s">
        <v>6</v>
      </c>
      <c r="B3" s="592" t="str">
        <f>Capa!D5</f>
        <v>HOSPITAL REGIONAL TEREZINHA GAIO BASSO</v>
      </c>
      <c r="C3" s="593"/>
      <c r="D3" s="593"/>
      <c r="E3" s="593"/>
      <c r="F3" s="147"/>
    </row>
    <row r="4" spans="1:10" s="142" customFormat="1" ht="17.25" customHeight="1">
      <c r="A4" s="148" t="s">
        <v>7</v>
      </c>
      <c r="B4" s="594">
        <f>Qualidade!B4</f>
        <v>46054</v>
      </c>
      <c r="C4" s="594"/>
      <c r="D4" s="149"/>
      <c r="E4" s="149"/>
      <c r="F4" s="147"/>
    </row>
    <row r="5" spans="1:10" s="142" customFormat="1" ht="17.25" customHeight="1">
      <c r="A5" s="148"/>
      <c r="B5" s="150"/>
      <c r="C5" s="150"/>
      <c r="D5" s="149"/>
      <c r="E5" s="149"/>
      <c r="F5" s="147"/>
    </row>
    <row r="6" spans="1:10" s="142" customFormat="1" ht="17.25" customHeight="1">
      <c r="A6" s="542" t="s">
        <v>242</v>
      </c>
      <c r="B6" s="547"/>
      <c r="C6" s="547"/>
      <c r="D6" s="547"/>
      <c r="E6" s="547"/>
      <c r="F6" s="543"/>
    </row>
    <row r="7" spans="1:10" s="142" customFormat="1" ht="57" customHeight="1">
      <c r="A7" s="595" t="s">
        <v>243</v>
      </c>
      <c r="B7" s="565"/>
      <c r="C7" s="596" t="s">
        <v>244</v>
      </c>
      <c r="D7" s="596"/>
      <c r="E7" s="596" t="s">
        <v>245</v>
      </c>
      <c r="F7" s="597"/>
    </row>
    <row r="8" spans="1:10" s="142" customFormat="1" ht="29.25" customHeight="1">
      <c r="A8" s="587" t="s">
        <v>246</v>
      </c>
      <c r="B8" s="588"/>
      <c r="C8" s="565">
        <v>2320</v>
      </c>
      <c r="D8" s="565"/>
      <c r="E8" s="565">
        <v>106</v>
      </c>
      <c r="F8" s="589"/>
    </row>
    <row r="9" spans="1:10" s="142" customFormat="1" ht="17.25" customHeight="1">
      <c r="A9" s="587" t="s">
        <v>247</v>
      </c>
      <c r="B9" s="588"/>
      <c r="C9" s="565">
        <v>592</v>
      </c>
      <c r="D9" s="565"/>
      <c r="E9" s="565">
        <v>204</v>
      </c>
      <c r="F9" s="589"/>
    </row>
    <row r="10" spans="1:10" s="142" customFormat="1" ht="26.25" customHeight="1">
      <c r="A10" s="587" t="s">
        <v>248</v>
      </c>
      <c r="B10" s="588"/>
      <c r="C10" s="565">
        <v>7608</v>
      </c>
      <c r="D10" s="565"/>
      <c r="E10" s="565">
        <v>278</v>
      </c>
      <c r="F10" s="589"/>
    </row>
    <row r="11" spans="1:10" s="142" customFormat="1" ht="17.25" customHeight="1">
      <c r="A11" s="587" t="s">
        <v>249</v>
      </c>
      <c r="B11" s="588"/>
      <c r="C11" s="565">
        <v>540</v>
      </c>
      <c r="D11" s="565"/>
      <c r="E11" s="565">
        <v>61</v>
      </c>
      <c r="F11" s="589"/>
    </row>
    <row r="12" spans="1:10" s="142" customFormat="1" ht="17.25" customHeight="1">
      <c r="A12" s="581" t="s">
        <v>14</v>
      </c>
      <c r="B12" s="582"/>
      <c r="C12" s="583">
        <f>SUM(C8:D11)</f>
        <v>11060</v>
      </c>
      <c r="D12" s="583"/>
      <c r="E12" s="583">
        <f>SUM(E8:F11)</f>
        <v>649</v>
      </c>
      <c r="F12" s="584"/>
    </row>
    <row r="13" spans="1:10" s="142" customFormat="1" ht="18" customHeight="1">
      <c r="A13" s="151"/>
      <c r="B13" s="152"/>
      <c r="C13" s="147"/>
      <c r="D13" s="153"/>
      <c r="E13" s="149"/>
      <c r="F13" s="147"/>
    </row>
    <row r="14" spans="1:10" ht="17.25" customHeight="1">
      <c r="A14" s="529" t="s">
        <v>250</v>
      </c>
      <c r="B14" s="530"/>
      <c r="C14" s="530"/>
      <c r="D14" s="530"/>
      <c r="E14" s="530"/>
      <c r="F14" s="530"/>
      <c r="G14" s="530"/>
      <c r="H14" s="530"/>
      <c r="I14" s="530"/>
      <c r="J14" s="530"/>
    </row>
    <row r="15" spans="1:10" ht="38.1" customHeight="1">
      <c r="A15" s="154" t="s">
        <v>251</v>
      </c>
      <c r="B15" s="155" t="s">
        <v>252</v>
      </c>
      <c r="C15" s="155" t="s">
        <v>253</v>
      </c>
      <c r="D15" s="155" t="s">
        <v>254</v>
      </c>
      <c r="E15" s="155" t="s">
        <v>255</v>
      </c>
      <c r="F15" s="155" t="s">
        <v>256</v>
      </c>
      <c r="G15" s="155" t="s">
        <v>257</v>
      </c>
      <c r="H15" s="155" t="s">
        <v>495</v>
      </c>
      <c r="I15" s="155" t="s">
        <v>258</v>
      </c>
      <c r="J15" s="164" t="s">
        <v>259</v>
      </c>
    </row>
    <row r="16" spans="1:10" ht="17.25" customHeight="1">
      <c r="A16" s="156" t="s">
        <v>260</v>
      </c>
      <c r="B16" s="157">
        <f>C8</f>
        <v>2320</v>
      </c>
      <c r="C16" s="158">
        <v>165</v>
      </c>
      <c r="D16" s="158">
        <v>815</v>
      </c>
      <c r="E16" s="158">
        <v>54</v>
      </c>
      <c r="F16" s="158">
        <v>26</v>
      </c>
      <c r="G16" s="159">
        <f>SUM(C16:F16)</f>
        <v>1060</v>
      </c>
      <c r="H16" s="392">
        <f>(E8/C8)*100</f>
        <v>4.568965517241379</v>
      </c>
      <c r="I16" s="160">
        <f>(C16+D16)/G16</f>
        <v>0.92452830188679247</v>
      </c>
      <c r="J16" s="165">
        <f>(E16+F16)/G16</f>
        <v>7.5471698113207544E-2</v>
      </c>
    </row>
    <row r="17" spans="1:10" ht="17.25" customHeight="1">
      <c r="A17" s="156" t="s">
        <v>261</v>
      </c>
      <c r="B17" s="157">
        <f>C9</f>
        <v>592</v>
      </c>
      <c r="C17" s="158">
        <v>479</v>
      </c>
      <c r="D17" s="158">
        <v>1325</v>
      </c>
      <c r="E17" s="158">
        <v>23</v>
      </c>
      <c r="F17" s="158">
        <v>9</v>
      </c>
      <c r="G17" s="159">
        <f>SUM(C17:F17)</f>
        <v>1836</v>
      </c>
      <c r="H17" s="392">
        <f>(E9/C9)*100</f>
        <v>34.45945945945946</v>
      </c>
      <c r="I17" s="160">
        <f>(C17+D17)/G17</f>
        <v>0.98257080610021785</v>
      </c>
      <c r="J17" s="165">
        <f>(E17+F17)/G17</f>
        <v>1.7429193899782137E-2</v>
      </c>
    </row>
    <row r="18" spans="1:10" ht="17.25" customHeight="1">
      <c r="A18" s="156" t="s">
        <v>262</v>
      </c>
      <c r="B18" s="157">
        <f>C10</f>
        <v>7608</v>
      </c>
      <c r="C18" s="158">
        <v>714</v>
      </c>
      <c r="D18" s="158">
        <v>1718</v>
      </c>
      <c r="E18" s="158">
        <v>55</v>
      </c>
      <c r="F18" s="158">
        <v>15</v>
      </c>
      <c r="G18" s="159">
        <f>SUM(C18:F18)</f>
        <v>2502</v>
      </c>
      <c r="H18" s="392">
        <f>(E10/C10)*100</f>
        <v>3.6540483701366986</v>
      </c>
      <c r="I18" s="160">
        <f>(C18+D18)/G18</f>
        <v>0.97202238209432457</v>
      </c>
      <c r="J18" s="165">
        <f>(E18+F18)/G18</f>
        <v>2.7977617905675458E-2</v>
      </c>
    </row>
    <row r="19" spans="1:10" ht="17.25" customHeight="1">
      <c r="A19" s="156" t="s">
        <v>263</v>
      </c>
      <c r="B19" s="157">
        <f>C11</f>
        <v>540</v>
      </c>
      <c r="C19" s="158">
        <v>175</v>
      </c>
      <c r="D19" s="158">
        <v>366</v>
      </c>
      <c r="E19" s="158">
        <v>7</v>
      </c>
      <c r="F19" s="158">
        <v>1</v>
      </c>
      <c r="G19" s="159">
        <f>SUM(C19:F19)</f>
        <v>549</v>
      </c>
      <c r="H19" s="392">
        <f>(E11/C11)*100</f>
        <v>11.296296296296296</v>
      </c>
      <c r="I19" s="160">
        <f>(C19+D19)/G19</f>
        <v>0.98542805100182151</v>
      </c>
      <c r="J19" s="165">
        <f>(E19+F19)/G19</f>
        <v>1.4571948998178506E-2</v>
      </c>
    </row>
    <row r="20" spans="1:10" ht="17.25" customHeight="1">
      <c r="A20" s="161" t="s">
        <v>264</v>
      </c>
      <c r="B20" s="162">
        <f>SUM(B16+B18+B17+B19)</f>
        <v>11060</v>
      </c>
      <c r="C20" s="162">
        <f>SUM(C16+C18+C17+C19)</f>
        <v>1533</v>
      </c>
      <c r="D20" s="162">
        <f>SUM(D16+D18+D17+D19)</f>
        <v>4224</v>
      </c>
      <c r="E20" s="162">
        <f>SUM(E16+E18+E17+E19)</f>
        <v>139</v>
      </c>
      <c r="F20" s="162">
        <f>SUM(F16+F18+F17+F19)</f>
        <v>51</v>
      </c>
      <c r="G20" s="162">
        <f>SUM(G16:G19)</f>
        <v>5947</v>
      </c>
      <c r="H20" s="393">
        <f>SUM(H16:H19)</f>
        <v>53.978769643133838</v>
      </c>
      <c r="I20" s="163">
        <f>(C20+D20)/G20</f>
        <v>0.96805111821086265</v>
      </c>
      <c r="J20" s="166">
        <f>(E20+F20)/G20</f>
        <v>3.1948881789137379E-2</v>
      </c>
    </row>
    <row r="21" spans="1:10" ht="17.25" customHeight="1">
      <c r="A21" s="585" t="s">
        <v>265</v>
      </c>
      <c r="B21" s="586"/>
      <c r="C21" s="586"/>
      <c r="D21" s="586"/>
      <c r="E21" s="586"/>
      <c r="F21" s="586"/>
      <c r="G21" s="586"/>
      <c r="H21" s="586"/>
      <c r="I21" s="586"/>
      <c r="J21" s="586"/>
    </row>
    <row r="22" spans="1:10" ht="17.25" customHeight="1">
      <c r="A22" s="586"/>
      <c r="B22" s="586"/>
      <c r="C22" s="586"/>
      <c r="D22" s="586"/>
      <c r="E22" s="586"/>
      <c r="F22" s="586"/>
      <c r="G22" s="586"/>
      <c r="H22" s="586"/>
      <c r="I22" s="586"/>
      <c r="J22" s="586"/>
    </row>
  </sheetData>
  <mergeCells count="24">
    <mergeCell ref="A1:J1"/>
    <mergeCell ref="B3:E3"/>
    <mergeCell ref="B4:C4"/>
    <mergeCell ref="A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4:J14"/>
    <mergeCell ref="A21:J22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tabSelected="1" showWhiteSpace="0" view="pageBreakPreview" zoomScaleNormal="100" zoomScaleSheetLayoutView="100" zoomScalePageLayoutView="70" workbookViewId="0">
      <selection activeCell="C7" sqref="C7"/>
    </sheetView>
  </sheetViews>
  <sheetFormatPr defaultColWidth="9" defaultRowHeight="15"/>
  <cols>
    <col min="1" max="1" width="35.140625" style="80" customWidth="1"/>
    <col min="2" max="2" width="12.5703125" style="81" customWidth="1"/>
    <col min="3" max="3" width="12.28515625" style="82" customWidth="1"/>
    <col min="4" max="4" width="47.85546875" style="82" customWidth="1"/>
    <col min="5" max="6" width="8" style="82" customWidth="1"/>
    <col min="7" max="7" width="8" style="81" customWidth="1"/>
    <col min="8" max="8" width="10.7109375" style="81" customWidth="1"/>
    <col min="9" max="9" width="41" style="81" customWidth="1"/>
    <col min="10" max="12" width="14.5703125" style="80" customWidth="1"/>
    <col min="13" max="16381" width="9.140625" style="80"/>
    <col min="16382" max="16384" width="9" style="80"/>
  </cols>
  <sheetData>
    <row r="1" spans="1:12" ht="18.600000000000001" customHeight="1">
      <c r="A1" s="607" t="s">
        <v>266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9"/>
    </row>
    <row r="2" spans="1:12" ht="18.600000000000001" customHeight="1">
      <c r="A2" s="83"/>
      <c r="B2" s="84"/>
      <c r="C2" s="85"/>
      <c r="D2" s="85"/>
      <c r="E2" s="85"/>
      <c r="F2" s="85"/>
      <c r="G2" s="85"/>
      <c r="H2" s="85"/>
      <c r="I2" s="84"/>
      <c r="J2" s="125"/>
      <c r="K2" s="125"/>
      <c r="L2" s="126"/>
    </row>
    <row r="3" spans="1:12" ht="18.600000000000001" customHeight="1">
      <c r="A3" s="86" t="s">
        <v>6</v>
      </c>
      <c r="B3" s="610" t="str">
        <f>Capa!D5</f>
        <v>HOSPITAL REGIONAL TEREZINHA GAIO BASSO</v>
      </c>
      <c r="C3" s="611"/>
      <c r="D3" s="611"/>
      <c r="E3" s="611"/>
      <c r="G3" s="82"/>
      <c r="H3" s="82"/>
      <c r="I3" s="116"/>
      <c r="L3" s="113"/>
    </row>
    <row r="4" spans="1:12" ht="18.600000000000001" customHeight="1">
      <c r="A4" s="86" t="s">
        <v>7</v>
      </c>
      <c r="B4" s="612">
        <f>'Qualidade PSU'!B4:C4</f>
        <v>46054</v>
      </c>
      <c r="C4" s="612"/>
      <c r="G4" s="82"/>
      <c r="H4" s="82"/>
      <c r="L4" s="113"/>
    </row>
    <row r="5" spans="1:12" ht="18.600000000000001" customHeight="1">
      <c r="A5" s="86"/>
      <c r="G5" s="82"/>
      <c r="H5" s="82"/>
      <c r="L5" s="113"/>
    </row>
    <row r="6" spans="1:12" ht="18.600000000000001" customHeight="1">
      <c r="A6" s="598" t="s">
        <v>267</v>
      </c>
      <c r="B6" s="599"/>
      <c r="C6" s="87"/>
      <c r="D6" s="613" t="s">
        <v>268</v>
      </c>
      <c r="E6" s="614"/>
      <c r="F6" s="614"/>
      <c r="G6" s="615"/>
      <c r="H6" s="80"/>
      <c r="I6" s="616" t="s">
        <v>269</v>
      </c>
      <c r="J6" s="617"/>
      <c r="K6" s="617"/>
      <c r="L6" s="618"/>
    </row>
    <row r="7" spans="1:12" ht="18.600000000000001" customHeight="1">
      <c r="A7" s="88"/>
      <c r="B7" s="89" t="s">
        <v>42</v>
      </c>
      <c r="C7" s="87"/>
      <c r="D7" s="90" t="s">
        <v>270</v>
      </c>
      <c r="E7" s="601"/>
      <c r="F7" s="601"/>
      <c r="G7" s="602"/>
      <c r="H7" s="91"/>
      <c r="I7" s="600" t="s">
        <v>270</v>
      </c>
      <c r="J7" s="603"/>
      <c r="K7" s="603"/>
      <c r="L7" s="604"/>
    </row>
    <row r="8" spans="1:12" ht="30">
      <c r="A8" s="92" t="s">
        <v>271</v>
      </c>
      <c r="B8" s="93">
        <f>B19+B29+K26+F73+B52+B38</f>
        <v>549</v>
      </c>
      <c r="C8" s="87"/>
      <c r="D8" s="90"/>
      <c r="E8" s="94" t="s">
        <v>272</v>
      </c>
      <c r="F8" s="94" t="s">
        <v>273</v>
      </c>
      <c r="G8" s="95" t="s">
        <v>274</v>
      </c>
      <c r="H8" s="91"/>
      <c r="I8" s="600"/>
      <c r="J8" s="94" t="s">
        <v>272</v>
      </c>
      <c r="K8" s="94" t="s">
        <v>273</v>
      </c>
      <c r="L8" s="95" t="s">
        <v>274</v>
      </c>
    </row>
    <row r="9" spans="1:12" ht="18.600000000000001" customHeight="1">
      <c r="A9" s="96"/>
      <c r="B9" s="97" t="str">
        <f>IF(B19+B29+B38+B48+B52+E73+F73+G73+J26+K26+L26=B8,"OK","REVER")</f>
        <v>OK</v>
      </c>
      <c r="C9" s="87"/>
      <c r="D9" s="98" t="s">
        <v>275</v>
      </c>
      <c r="E9" s="99"/>
      <c r="F9" s="99">
        <v>1</v>
      </c>
      <c r="G9" s="100"/>
      <c r="H9" s="80"/>
      <c r="I9" s="98" t="s">
        <v>276</v>
      </c>
      <c r="J9" s="127"/>
      <c r="K9" s="127">
        <v>2</v>
      </c>
      <c r="L9" s="128"/>
    </row>
    <row r="10" spans="1:12" ht="18.600000000000001" customHeight="1">
      <c r="A10" s="96"/>
      <c r="B10" s="80"/>
      <c r="C10" s="87"/>
      <c r="D10" s="98" t="s">
        <v>277</v>
      </c>
      <c r="E10" s="99"/>
      <c r="F10" s="99">
        <v>1</v>
      </c>
      <c r="G10" s="100"/>
      <c r="H10" s="80"/>
      <c r="I10" s="98" t="s">
        <v>278</v>
      </c>
      <c r="J10" s="127"/>
      <c r="K10" s="127">
        <v>16</v>
      </c>
      <c r="L10" s="128"/>
    </row>
    <row r="11" spans="1:12" ht="18.600000000000001" customHeight="1">
      <c r="A11" s="598" t="s">
        <v>279</v>
      </c>
      <c r="B11" s="599"/>
      <c r="C11" s="87"/>
      <c r="D11" s="98" t="s">
        <v>280</v>
      </c>
      <c r="E11" s="99"/>
      <c r="F11" s="99">
        <v>1</v>
      </c>
      <c r="G11" s="100"/>
      <c r="H11" s="80"/>
      <c r="I11" s="98" t="s">
        <v>281</v>
      </c>
      <c r="J11" s="127"/>
      <c r="K11" s="127">
        <v>0</v>
      </c>
      <c r="L11" s="128"/>
    </row>
    <row r="12" spans="1:12" ht="18.600000000000001" customHeight="1">
      <c r="A12" s="88"/>
      <c r="B12" s="89" t="s">
        <v>42</v>
      </c>
      <c r="C12" s="87"/>
      <c r="D12" s="98" t="s">
        <v>282</v>
      </c>
      <c r="E12" s="99"/>
      <c r="F12" s="99">
        <v>1</v>
      </c>
      <c r="G12" s="100"/>
      <c r="H12" s="80"/>
      <c r="I12" s="98" t="s">
        <v>283</v>
      </c>
      <c r="J12" s="127"/>
      <c r="K12" s="127">
        <v>6</v>
      </c>
      <c r="L12" s="128"/>
    </row>
    <row r="13" spans="1:12" ht="18.600000000000001" customHeight="1">
      <c r="A13" s="88" t="s">
        <v>284</v>
      </c>
      <c r="B13" s="101">
        <v>12</v>
      </c>
      <c r="C13" s="87"/>
      <c r="D13" s="98" t="s">
        <v>285</v>
      </c>
      <c r="E13" s="99"/>
      <c r="F13" s="99">
        <v>1</v>
      </c>
      <c r="G13" s="100"/>
      <c r="H13" s="80"/>
      <c r="I13" s="98" t="s">
        <v>286</v>
      </c>
      <c r="J13" s="127"/>
      <c r="K13" s="127">
        <v>5</v>
      </c>
      <c r="L13" s="128"/>
    </row>
    <row r="14" spans="1:12" ht="18.600000000000001" customHeight="1">
      <c r="A14" s="88" t="s">
        <v>287</v>
      </c>
      <c r="B14" s="101">
        <v>10</v>
      </c>
      <c r="C14" s="87"/>
      <c r="D14" s="98" t="s">
        <v>288</v>
      </c>
      <c r="E14" s="99"/>
      <c r="F14" s="99">
        <v>0</v>
      </c>
      <c r="G14" s="100"/>
      <c r="H14" s="80"/>
      <c r="I14" s="98" t="s">
        <v>289</v>
      </c>
      <c r="J14" s="127"/>
      <c r="K14" s="127">
        <v>2</v>
      </c>
      <c r="L14" s="128"/>
    </row>
    <row r="15" spans="1:12" ht="18.600000000000001" customHeight="1">
      <c r="A15" s="102" t="s">
        <v>290</v>
      </c>
      <c r="B15" s="103">
        <f>B22+B31+B40+F73+K26</f>
        <v>439</v>
      </c>
      <c r="C15" s="87"/>
      <c r="D15" s="98" t="s">
        <v>291</v>
      </c>
      <c r="E15" s="99"/>
      <c r="F15" s="99">
        <v>1</v>
      </c>
      <c r="G15" s="100"/>
      <c r="H15" s="80"/>
      <c r="I15" s="98" t="s">
        <v>292</v>
      </c>
      <c r="J15" s="127"/>
      <c r="K15" s="127">
        <v>1</v>
      </c>
      <c r="L15" s="128"/>
    </row>
    <row r="16" spans="1:12" ht="28.5" customHeight="1">
      <c r="A16" s="104"/>
      <c r="B16" s="105"/>
      <c r="C16" s="87"/>
      <c r="D16" s="98" t="s">
        <v>293</v>
      </c>
      <c r="E16" s="99"/>
      <c r="F16" s="99">
        <v>0</v>
      </c>
      <c r="G16" s="100"/>
      <c r="H16" s="80"/>
      <c r="I16" s="98" t="s">
        <v>294</v>
      </c>
      <c r="J16" s="127"/>
      <c r="K16" s="127">
        <v>7</v>
      </c>
      <c r="L16" s="128"/>
    </row>
    <row r="17" spans="1:12" ht="18.95" customHeight="1">
      <c r="A17" s="605" t="s">
        <v>295</v>
      </c>
      <c r="B17" s="606"/>
      <c r="C17" s="87"/>
      <c r="D17" s="98" t="s">
        <v>296</v>
      </c>
      <c r="E17" s="99"/>
      <c r="F17" s="99">
        <v>1</v>
      </c>
      <c r="G17" s="100"/>
      <c r="H17" s="80"/>
      <c r="I17" s="98" t="s">
        <v>297</v>
      </c>
      <c r="J17" s="127"/>
      <c r="K17" s="127">
        <v>1</v>
      </c>
      <c r="L17" s="128"/>
    </row>
    <row r="18" spans="1:12" ht="29.1" customHeight="1">
      <c r="A18" s="106"/>
      <c r="B18" s="107" t="s">
        <v>42</v>
      </c>
      <c r="C18" s="87"/>
      <c r="D18" s="98" t="s">
        <v>298</v>
      </c>
      <c r="E18" s="99"/>
      <c r="F18" s="99">
        <v>3</v>
      </c>
      <c r="G18" s="100"/>
      <c r="H18" s="80"/>
      <c r="I18" s="98" t="s">
        <v>299</v>
      </c>
      <c r="J18" s="127"/>
      <c r="K18" s="127">
        <v>13</v>
      </c>
      <c r="L18" s="128"/>
    </row>
    <row r="19" spans="1:12" ht="31.5" customHeight="1">
      <c r="A19" s="102" t="s">
        <v>300</v>
      </c>
      <c r="B19" s="108">
        <f>SUM(B20:B23)</f>
        <v>103</v>
      </c>
      <c r="C19" s="87"/>
      <c r="D19" s="98" t="s">
        <v>301</v>
      </c>
      <c r="E19" s="99"/>
      <c r="F19" s="99">
        <v>1</v>
      </c>
      <c r="G19" s="100"/>
      <c r="H19" s="80"/>
      <c r="I19" s="98" t="s">
        <v>302</v>
      </c>
      <c r="J19" s="127"/>
      <c r="K19" s="127">
        <v>1</v>
      </c>
      <c r="L19" s="128"/>
    </row>
    <row r="20" spans="1:12" ht="18.600000000000001" customHeight="1">
      <c r="A20" s="88" t="s">
        <v>303</v>
      </c>
      <c r="B20" s="109">
        <v>103</v>
      </c>
      <c r="C20" s="87"/>
      <c r="D20" s="98" t="s">
        <v>304</v>
      </c>
      <c r="E20" s="99"/>
      <c r="F20" s="99">
        <v>1</v>
      </c>
      <c r="G20" s="100"/>
      <c r="H20" s="80"/>
      <c r="I20" s="98" t="s">
        <v>305</v>
      </c>
      <c r="J20" s="127"/>
      <c r="K20" s="127">
        <v>1</v>
      </c>
      <c r="L20" s="128"/>
    </row>
    <row r="21" spans="1:12" ht="18.600000000000001" customHeight="1">
      <c r="A21" s="110" t="s">
        <v>272</v>
      </c>
      <c r="B21" s="109">
        <v>0</v>
      </c>
      <c r="C21" s="87"/>
      <c r="D21" s="98" t="s">
        <v>306</v>
      </c>
      <c r="E21" s="99"/>
      <c r="F21" s="99">
        <v>1</v>
      </c>
      <c r="G21" s="100"/>
      <c r="H21" s="80"/>
      <c r="I21" s="98" t="s">
        <v>307</v>
      </c>
      <c r="J21" s="127"/>
      <c r="K21" s="127">
        <v>2</v>
      </c>
      <c r="L21" s="128"/>
    </row>
    <row r="22" spans="1:12" ht="18.600000000000001" customHeight="1">
      <c r="A22" s="110" t="s">
        <v>308</v>
      </c>
      <c r="B22" s="111">
        <v>0</v>
      </c>
      <c r="C22" s="81"/>
      <c r="D22" s="98" t="s">
        <v>309</v>
      </c>
      <c r="E22" s="99"/>
      <c r="F22" s="99">
        <v>4</v>
      </c>
      <c r="G22" s="100"/>
      <c r="H22" s="80"/>
      <c r="I22" s="124" t="s">
        <v>310</v>
      </c>
      <c r="J22" s="129"/>
      <c r="K22" s="129">
        <v>0</v>
      </c>
      <c r="L22" s="130"/>
    </row>
    <row r="23" spans="1:12" ht="18.600000000000001" customHeight="1">
      <c r="A23" s="102" t="s">
        <v>311</v>
      </c>
      <c r="B23" s="112">
        <v>0</v>
      </c>
      <c r="C23" s="81"/>
      <c r="D23" s="98" t="s">
        <v>312</v>
      </c>
      <c r="E23" s="99"/>
      <c r="F23" s="99">
        <v>2</v>
      </c>
      <c r="G23" s="100"/>
      <c r="H23" s="80"/>
      <c r="I23" s="123" t="s">
        <v>313</v>
      </c>
      <c r="J23" s="131"/>
      <c r="K23" s="131"/>
      <c r="L23" s="131"/>
    </row>
    <row r="24" spans="1:12" ht="18.600000000000001" customHeight="1">
      <c r="A24" s="104"/>
      <c r="B24" s="91"/>
      <c r="C24" s="81"/>
      <c r="D24" s="98" t="s">
        <v>314</v>
      </c>
      <c r="E24" s="99"/>
      <c r="F24" s="99">
        <v>7</v>
      </c>
      <c r="G24" s="100"/>
      <c r="H24" s="80"/>
      <c r="I24" s="407" t="s">
        <v>902</v>
      </c>
      <c r="J24" s="132"/>
      <c r="K24" s="114">
        <v>4</v>
      </c>
      <c r="L24" s="131"/>
    </row>
    <row r="25" spans="1:12" ht="18.600000000000001" customHeight="1">
      <c r="A25" s="104"/>
      <c r="B25" s="91"/>
      <c r="C25" s="81"/>
      <c r="D25" s="98" t="s">
        <v>315</v>
      </c>
      <c r="E25" s="99"/>
      <c r="F25" s="99">
        <v>10</v>
      </c>
      <c r="G25" s="100"/>
      <c r="H25" s="80"/>
      <c r="I25" s="131"/>
      <c r="J25" s="132"/>
      <c r="K25" s="131"/>
      <c r="L25" s="131"/>
    </row>
    <row r="26" spans="1:12" ht="18.600000000000001" customHeight="1">
      <c r="A26" s="96"/>
      <c r="B26" s="82"/>
      <c r="C26" s="81"/>
      <c r="D26" s="98" t="s">
        <v>316</v>
      </c>
      <c r="E26" s="99"/>
      <c r="F26" s="99">
        <v>28</v>
      </c>
      <c r="G26" s="100"/>
      <c r="H26" s="80"/>
      <c r="I26" s="114" t="s">
        <v>39</v>
      </c>
      <c r="J26" s="133">
        <f>SUM(J9:J25)</f>
        <v>0</v>
      </c>
      <c r="K26" s="133">
        <f>SUM(K9:K25)</f>
        <v>61</v>
      </c>
      <c r="L26" s="133">
        <f>SUM(L9:L25)</f>
        <v>0</v>
      </c>
    </row>
    <row r="27" spans="1:12">
      <c r="A27" s="598" t="s">
        <v>317</v>
      </c>
      <c r="B27" s="599"/>
      <c r="C27" s="81"/>
      <c r="D27" s="98" t="s">
        <v>318</v>
      </c>
      <c r="E27" s="80"/>
      <c r="F27" s="406">
        <v>1</v>
      </c>
      <c r="G27" s="113"/>
      <c r="H27" s="80"/>
      <c r="I27" s="80"/>
      <c r="J27" s="82"/>
      <c r="L27" s="113"/>
    </row>
    <row r="28" spans="1:12" ht="18.600000000000001" customHeight="1">
      <c r="A28" s="88"/>
      <c r="B28" s="89" t="s">
        <v>42</v>
      </c>
      <c r="C28" s="81"/>
      <c r="D28" s="98" t="s">
        <v>319</v>
      </c>
      <c r="E28" s="99"/>
      <c r="F28" s="99">
        <v>1</v>
      </c>
      <c r="G28" s="100"/>
      <c r="H28" s="80"/>
      <c r="I28" s="80"/>
      <c r="J28" s="82"/>
      <c r="L28" s="113"/>
    </row>
    <row r="29" spans="1:12">
      <c r="A29" s="102" t="s">
        <v>320</v>
      </c>
      <c r="B29" s="108">
        <f>B30+B31+B32</f>
        <v>45</v>
      </c>
      <c r="C29" s="81"/>
      <c r="D29" s="98" t="s">
        <v>321</v>
      </c>
      <c r="E29" s="99"/>
      <c r="F29" s="99">
        <v>1</v>
      </c>
      <c r="G29" s="100"/>
      <c r="H29" s="80"/>
      <c r="I29" s="80"/>
      <c r="J29" s="82"/>
      <c r="L29" s="113"/>
    </row>
    <row r="30" spans="1:12" ht="18.600000000000001" customHeight="1">
      <c r="A30" s="110" t="s">
        <v>272</v>
      </c>
      <c r="B30" s="109">
        <v>0</v>
      </c>
      <c r="D30" s="98" t="s">
        <v>322</v>
      </c>
      <c r="E30" s="99"/>
      <c r="F30" s="99">
        <v>1</v>
      </c>
      <c r="G30" s="100"/>
      <c r="H30" s="80"/>
      <c r="I30" s="80"/>
      <c r="J30" s="82"/>
      <c r="L30" s="113"/>
    </row>
    <row r="31" spans="1:12" ht="18.600000000000001" customHeight="1">
      <c r="A31" s="110" t="s">
        <v>308</v>
      </c>
      <c r="B31" s="111">
        <v>45</v>
      </c>
      <c r="D31" s="98" t="s">
        <v>323</v>
      </c>
      <c r="E31" s="114"/>
      <c r="F31" s="114">
        <v>0</v>
      </c>
      <c r="G31" s="115"/>
      <c r="H31" s="80"/>
      <c r="I31" s="80"/>
      <c r="J31" s="82"/>
      <c r="L31" s="113"/>
    </row>
    <row r="32" spans="1:12" ht="18.600000000000001" customHeight="1">
      <c r="A32" s="102" t="s">
        <v>311</v>
      </c>
      <c r="B32" s="112">
        <v>0</v>
      </c>
      <c r="D32" s="98" t="s">
        <v>324</v>
      </c>
      <c r="E32" s="114"/>
      <c r="F32" s="114">
        <v>8</v>
      </c>
      <c r="G32" s="115"/>
      <c r="H32" s="80"/>
      <c r="I32" s="80"/>
      <c r="J32" s="82"/>
      <c r="L32" s="113"/>
    </row>
    <row r="33" spans="1:12" ht="18.600000000000001" customHeight="1">
      <c r="A33" s="104"/>
      <c r="B33" s="91"/>
      <c r="C33" s="116"/>
      <c r="D33" s="98" t="s">
        <v>325</v>
      </c>
      <c r="E33" s="114"/>
      <c r="F33" s="114">
        <v>1</v>
      </c>
      <c r="G33" s="115"/>
      <c r="H33" s="80"/>
      <c r="I33" s="80"/>
      <c r="J33" s="82"/>
      <c r="L33" s="113"/>
    </row>
    <row r="34" spans="1:12" ht="18.600000000000001" customHeight="1">
      <c r="A34" s="104"/>
      <c r="B34" s="91"/>
      <c r="D34" s="98" t="s">
        <v>326</v>
      </c>
      <c r="E34" s="114"/>
      <c r="F34" s="114">
        <v>6</v>
      </c>
      <c r="G34" s="115"/>
      <c r="H34" s="80"/>
      <c r="I34" s="80"/>
      <c r="J34" s="82"/>
      <c r="L34" s="113"/>
    </row>
    <row r="35" spans="1:12" ht="18.600000000000001" customHeight="1">
      <c r="A35" s="117"/>
      <c r="D35" s="98" t="s">
        <v>327</v>
      </c>
      <c r="E35" s="114"/>
      <c r="F35" s="114">
        <v>1</v>
      </c>
      <c r="G35" s="115"/>
      <c r="H35" s="80"/>
      <c r="I35" s="80"/>
      <c r="L35" s="113"/>
    </row>
    <row r="36" spans="1:12" ht="18.600000000000001" customHeight="1">
      <c r="A36" s="598" t="s">
        <v>328</v>
      </c>
      <c r="B36" s="599"/>
      <c r="D36" s="98" t="s">
        <v>329</v>
      </c>
      <c r="E36" s="114"/>
      <c r="F36" s="114">
        <v>0</v>
      </c>
      <c r="G36" s="115"/>
      <c r="H36" s="80"/>
      <c r="I36" s="80"/>
      <c r="L36" s="113"/>
    </row>
    <row r="37" spans="1:12">
      <c r="A37" s="88"/>
      <c r="B37" s="89" t="s">
        <v>42</v>
      </c>
      <c r="D37" s="98" t="s">
        <v>330</v>
      </c>
      <c r="E37" s="114"/>
      <c r="F37" s="114">
        <v>0</v>
      </c>
      <c r="G37" s="115"/>
      <c r="H37" s="80"/>
      <c r="I37" s="80"/>
      <c r="L37" s="113"/>
    </row>
    <row r="38" spans="1:12">
      <c r="A38" s="92" t="s">
        <v>331</v>
      </c>
      <c r="B38" s="118">
        <v>187</v>
      </c>
      <c r="D38" s="98" t="s">
        <v>332</v>
      </c>
      <c r="E38" s="114"/>
      <c r="F38" s="114">
        <v>1</v>
      </c>
      <c r="G38" s="115"/>
      <c r="H38" s="80"/>
      <c r="I38" s="80"/>
      <c r="L38" s="113"/>
    </row>
    <row r="39" spans="1:12">
      <c r="A39" s="110" t="s">
        <v>272</v>
      </c>
      <c r="B39" s="109">
        <v>0</v>
      </c>
      <c r="D39" s="98" t="s">
        <v>333</v>
      </c>
      <c r="E39" s="114"/>
      <c r="F39" s="114">
        <v>2</v>
      </c>
      <c r="G39" s="115"/>
      <c r="H39" s="80"/>
      <c r="I39" s="80"/>
      <c r="L39" s="113"/>
    </row>
    <row r="40" spans="1:12">
      <c r="A40" s="110" t="s">
        <v>308</v>
      </c>
      <c r="B40" s="111">
        <v>187</v>
      </c>
      <c r="D40" s="98" t="s">
        <v>334</v>
      </c>
      <c r="E40" s="114"/>
      <c r="F40" s="114">
        <v>1</v>
      </c>
      <c r="G40" s="115"/>
      <c r="H40" s="80"/>
      <c r="I40" s="80"/>
      <c r="L40" s="113"/>
    </row>
    <row r="41" spans="1:12">
      <c r="A41" s="102" t="s">
        <v>311</v>
      </c>
      <c r="B41" s="112">
        <v>0</v>
      </c>
      <c r="D41" s="98" t="s">
        <v>335</v>
      </c>
      <c r="E41" s="114"/>
      <c r="F41" s="114">
        <v>1</v>
      </c>
      <c r="G41" s="115"/>
      <c r="H41" s="80"/>
      <c r="I41" s="80"/>
      <c r="L41" s="113"/>
    </row>
    <row r="42" spans="1:12">
      <c r="A42" s="104"/>
      <c r="B42" s="91"/>
      <c r="D42" s="98" t="s">
        <v>336</v>
      </c>
      <c r="E42" s="114"/>
      <c r="F42" s="114">
        <v>1</v>
      </c>
      <c r="G42" s="115"/>
      <c r="H42" s="80"/>
      <c r="I42" s="80"/>
      <c r="L42" s="113"/>
    </row>
    <row r="43" spans="1:12">
      <c r="A43" s="104"/>
      <c r="B43" s="91"/>
      <c r="D43" s="98" t="s">
        <v>337</v>
      </c>
      <c r="E43" s="114"/>
      <c r="F43" s="114">
        <v>0</v>
      </c>
      <c r="G43" s="115"/>
      <c r="H43" s="80"/>
      <c r="I43" s="80"/>
      <c r="L43" s="113"/>
    </row>
    <row r="44" spans="1:12">
      <c r="A44" s="96"/>
      <c r="D44" s="98" t="s">
        <v>338</v>
      </c>
      <c r="E44" s="114"/>
      <c r="F44" s="114">
        <v>1</v>
      </c>
      <c r="G44" s="115"/>
      <c r="H44" s="80"/>
      <c r="I44" s="80"/>
      <c r="L44" s="113"/>
    </row>
    <row r="45" spans="1:12" ht="30">
      <c r="A45" s="96"/>
      <c r="D45" s="98" t="s">
        <v>339</v>
      </c>
      <c r="E45" s="114"/>
      <c r="F45" s="114">
        <v>6</v>
      </c>
      <c r="G45" s="115"/>
      <c r="H45" s="80"/>
      <c r="I45" s="80"/>
      <c r="L45" s="113"/>
    </row>
    <row r="46" spans="1:12">
      <c r="A46" s="598" t="s">
        <v>340</v>
      </c>
      <c r="B46" s="599"/>
      <c r="D46" s="98" t="s">
        <v>341</v>
      </c>
      <c r="E46" s="114"/>
      <c r="F46" s="114">
        <v>1</v>
      </c>
      <c r="G46" s="115"/>
      <c r="H46" s="80"/>
      <c r="I46" s="80"/>
      <c r="L46" s="113"/>
    </row>
    <row r="47" spans="1:12">
      <c r="A47" s="88"/>
      <c r="B47" s="89" t="s">
        <v>42</v>
      </c>
      <c r="D47" s="98" t="s">
        <v>342</v>
      </c>
      <c r="E47" s="114"/>
      <c r="F47" s="114">
        <v>0</v>
      </c>
      <c r="G47" s="115"/>
      <c r="H47" s="80"/>
      <c r="I47" s="80"/>
      <c r="L47" s="113"/>
    </row>
    <row r="48" spans="1:12" ht="30">
      <c r="A48" s="92" t="s">
        <v>343</v>
      </c>
      <c r="B48" s="93">
        <v>0</v>
      </c>
      <c r="D48" s="98" t="s">
        <v>344</v>
      </c>
      <c r="E48" s="114"/>
      <c r="F48" s="114">
        <v>2</v>
      </c>
      <c r="G48" s="115"/>
      <c r="H48" s="80"/>
      <c r="I48" s="80"/>
      <c r="L48" s="113"/>
    </row>
    <row r="49" spans="1:12">
      <c r="A49" s="96"/>
      <c r="D49" s="98" t="s">
        <v>345</v>
      </c>
      <c r="E49" s="114"/>
      <c r="F49" s="114">
        <v>1</v>
      </c>
      <c r="G49" s="115"/>
      <c r="H49" s="80"/>
      <c r="I49" s="80"/>
      <c r="L49" s="113"/>
    </row>
    <row r="50" spans="1:12">
      <c r="A50" s="598" t="s">
        <v>346</v>
      </c>
      <c r="B50" s="599"/>
      <c r="D50" s="98" t="s">
        <v>347</v>
      </c>
      <c r="E50" s="114"/>
      <c r="F50" s="114">
        <v>2</v>
      </c>
      <c r="G50" s="115"/>
      <c r="H50" s="80"/>
      <c r="I50" s="80"/>
      <c r="L50" s="113"/>
    </row>
    <row r="51" spans="1:12">
      <c r="A51" s="106"/>
      <c r="B51" s="89" t="s">
        <v>42</v>
      </c>
      <c r="D51" s="98" t="s">
        <v>348</v>
      </c>
      <c r="E51" s="114"/>
      <c r="F51" s="114">
        <v>18</v>
      </c>
      <c r="G51" s="115"/>
      <c r="H51" s="80"/>
      <c r="I51" s="80"/>
      <c r="L51" s="113"/>
    </row>
    <row r="52" spans="1:12">
      <c r="A52" s="119" t="s">
        <v>349</v>
      </c>
      <c r="B52" s="120">
        <v>7</v>
      </c>
      <c r="D52" s="98" t="s">
        <v>350</v>
      </c>
      <c r="E52" s="114"/>
      <c r="F52" s="114">
        <v>1</v>
      </c>
      <c r="G52" s="115"/>
      <c r="H52" s="80"/>
      <c r="I52" s="80"/>
      <c r="L52" s="113"/>
    </row>
    <row r="53" spans="1:12">
      <c r="A53" s="121"/>
      <c r="B53" s="109">
        <v>0</v>
      </c>
      <c r="D53" s="98" t="s">
        <v>351</v>
      </c>
      <c r="E53" s="114"/>
      <c r="F53" s="114">
        <v>1</v>
      </c>
      <c r="G53" s="115"/>
      <c r="H53" s="80"/>
      <c r="I53" s="80"/>
      <c r="L53" s="113"/>
    </row>
    <row r="54" spans="1:12">
      <c r="A54" s="121"/>
      <c r="B54" s="109">
        <v>0</v>
      </c>
      <c r="D54" s="98" t="s">
        <v>352</v>
      </c>
      <c r="E54" s="114"/>
      <c r="F54" s="114">
        <v>0</v>
      </c>
      <c r="G54" s="115"/>
      <c r="H54" s="80"/>
      <c r="I54" s="80"/>
      <c r="L54" s="113"/>
    </row>
    <row r="55" spans="1:12">
      <c r="A55" s="88"/>
      <c r="B55" s="109">
        <v>0</v>
      </c>
      <c r="D55" s="98" t="s">
        <v>353</v>
      </c>
      <c r="E55" s="114"/>
      <c r="F55" s="114">
        <v>1</v>
      </c>
      <c r="G55" s="115"/>
      <c r="H55" s="80"/>
      <c r="I55" s="80"/>
      <c r="L55" s="113"/>
    </row>
    <row r="56" spans="1:12">
      <c r="A56" s="122"/>
      <c r="B56" s="112">
        <v>0</v>
      </c>
      <c r="D56" s="98" t="s">
        <v>354</v>
      </c>
      <c r="E56" s="114"/>
      <c r="F56" s="114">
        <v>2</v>
      </c>
      <c r="G56" s="115"/>
      <c r="H56" s="80"/>
      <c r="I56" s="80"/>
      <c r="L56" s="113"/>
    </row>
    <row r="57" spans="1:12">
      <c r="A57" s="96"/>
      <c r="B57" s="80"/>
      <c r="D57" s="98" t="s">
        <v>355</v>
      </c>
      <c r="E57" s="114"/>
      <c r="F57" s="114">
        <v>2</v>
      </c>
      <c r="G57" s="115"/>
      <c r="H57" s="80"/>
      <c r="I57" s="80"/>
      <c r="L57" s="113"/>
    </row>
    <row r="58" spans="1:12">
      <c r="A58" s="96"/>
      <c r="D58" s="98" t="s">
        <v>356</v>
      </c>
      <c r="E58" s="114"/>
      <c r="F58" s="114">
        <v>1</v>
      </c>
      <c r="G58" s="115"/>
      <c r="H58" s="80"/>
      <c r="I58" s="80"/>
      <c r="L58" s="113"/>
    </row>
    <row r="59" spans="1:12">
      <c r="A59" s="96"/>
      <c r="D59" s="123" t="s">
        <v>313</v>
      </c>
      <c r="E59" s="114"/>
      <c r="F59" s="114"/>
      <c r="G59" s="115"/>
      <c r="H59" s="80"/>
      <c r="I59" s="80"/>
      <c r="L59" s="113"/>
    </row>
    <row r="60" spans="1:12">
      <c r="A60" s="96"/>
      <c r="D60" s="407" t="s">
        <v>901</v>
      </c>
      <c r="E60" s="114"/>
      <c r="F60" s="114">
        <v>1</v>
      </c>
      <c r="G60" s="115"/>
      <c r="H60" s="80"/>
      <c r="I60" s="80"/>
      <c r="L60" s="113"/>
    </row>
    <row r="61" spans="1:12">
      <c r="A61" s="96"/>
      <c r="D61" s="407" t="s">
        <v>903</v>
      </c>
      <c r="E61" s="114"/>
      <c r="F61" s="114">
        <v>2</v>
      </c>
      <c r="G61" s="115"/>
      <c r="H61" s="80"/>
      <c r="I61" s="80"/>
      <c r="L61" s="113"/>
    </row>
    <row r="62" spans="1:12">
      <c r="A62" s="96"/>
      <c r="C62" s="80"/>
      <c r="D62" s="407" t="s">
        <v>904</v>
      </c>
      <c r="E62" s="114"/>
      <c r="F62" s="114">
        <v>1</v>
      </c>
      <c r="G62" s="115"/>
      <c r="H62" s="80"/>
      <c r="I62" s="80"/>
      <c r="L62" s="113"/>
    </row>
    <row r="63" spans="1:12">
      <c r="A63" s="96"/>
      <c r="C63" s="80"/>
      <c r="D63" s="407" t="s">
        <v>905</v>
      </c>
      <c r="E63" s="114"/>
      <c r="F63" s="114">
        <v>1</v>
      </c>
      <c r="G63" s="114"/>
      <c r="H63" s="80"/>
      <c r="I63" s="80"/>
      <c r="L63" s="113"/>
    </row>
    <row r="64" spans="1:12">
      <c r="A64" s="96"/>
      <c r="D64" s="407" t="s">
        <v>906</v>
      </c>
      <c r="E64" s="114"/>
      <c r="F64" s="114">
        <v>5</v>
      </c>
      <c r="G64" s="114"/>
      <c r="L64" s="113"/>
    </row>
    <row r="65" spans="1:12">
      <c r="A65" s="96"/>
      <c r="D65" s="407" t="s">
        <v>907</v>
      </c>
      <c r="E65" s="114"/>
      <c r="F65" s="114">
        <v>3</v>
      </c>
      <c r="G65" s="114"/>
      <c r="L65" s="113"/>
    </row>
    <row r="66" spans="1:12">
      <c r="A66" s="96"/>
      <c r="D66" s="407" t="s">
        <v>908</v>
      </c>
      <c r="E66" s="134"/>
      <c r="F66" s="134">
        <v>1</v>
      </c>
      <c r="G66" s="134"/>
      <c r="L66" s="113"/>
    </row>
    <row r="67" spans="1:12">
      <c r="A67" s="96"/>
      <c r="D67" s="407" t="s">
        <v>909</v>
      </c>
      <c r="E67" s="114"/>
      <c r="F67" s="114">
        <v>1</v>
      </c>
      <c r="G67" s="114"/>
      <c r="H67" s="80"/>
      <c r="I67" s="80"/>
      <c r="L67" s="113"/>
    </row>
    <row r="68" spans="1:12">
      <c r="A68" s="96"/>
      <c r="D68" s="407" t="s">
        <v>910</v>
      </c>
      <c r="E68" s="134"/>
      <c r="F68" s="134">
        <v>1</v>
      </c>
      <c r="G68" s="134"/>
      <c r="I68" s="80"/>
      <c r="L68" s="113"/>
    </row>
    <row r="69" spans="1:12">
      <c r="A69" s="96"/>
      <c r="D69" s="407" t="s">
        <v>911</v>
      </c>
      <c r="E69" s="114"/>
      <c r="F69" s="114">
        <v>1</v>
      </c>
      <c r="G69" s="114"/>
      <c r="H69" s="80"/>
      <c r="I69" s="80"/>
      <c r="L69" s="113"/>
    </row>
    <row r="70" spans="1:12">
      <c r="A70" s="96"/>
      <c r="D70" s="132"/>
      <c r="E70" s="132"/>
      <c r="F70" s="132"/>
      <c r="G70" s="114"/>
      <c r="H70" s="80"/>
      <c r="I70" s="80"/>
      <c r="L70" s="113"/>
    </row>
    <row r="71" spans="1:12">
      <c r="A71" s="96"/>
      <c r="D71" s="132"/>
      <c r="E71" s="132"/>
      <c r="F71" s="131"/>
      <c r="G71" s="131"/>
      <c r="H71" s="80"/>
      <c r="I71" s="80"/>
      <c r="L71" s="113"/>
    </row>
    <row r="72" spans="1:12">
      <c r="A72" s="96"/>
      <c r="D72" s="132"/>
      <c r="E72" s="132"/>
      <c r="F72" s="131"/>
      <c r="G72" s="131"/>
      <c r="H72" s="80"/>
      <c r="I72" s="80"/>
      <c r="L72" s="113"/>
    </row>
    <row r="73" spans="1:12">
      <c r="A73" s="135"/>
      <c r="B73" s="136"/>
      <c r="C73" s="137"/>
      <c r="D73" s="138" t="s">
        <v>39</v>
      </c>
      <c r="E73" s="139">
        <f>SUM(E9:E72)</f>
        <v>0</v>
      </c>
      <c r="F73" s="139">
        <f>SUM(F9:F72)</f>
        <v>146</v>
      </c>
      <c r="G73" s="139">
        <f>SUM(G9:G72)</f>
        <v>0</v>
      </c>
      <c r="H73" s="140"/>
      <c r="I73" s="140"/>
      <c r="J73" s="140"/>
      <c r="K73" s="140"/>
      <c r="L73" s="141"/>
    </row>
    <row r="74" spans="1:12">
      <c r="F74" s="80"/>
      <c r="G74" s="80"/>
      <c r="H74" s="80"/>
      <c r="I74" s="80"/>
    </row>
    <row r="75" spans="1:12">
      <c r="F75" s="80"/>
      <c r="G75" s="80"/>
      <c r="H75" s="80"/>
      <c r="I75" s="80"/>
    </row>
    <row r="76" spans="1:12">
      <c r="F76" s="80"/>
      <c r="G76" s="80"/>
      <c r="H76" s="80"/>
      <c r="I76" s="80"/>
    </row>
    <row r="77" spans="1:12">
      <c r="F77" s="80"/>
      <c r="G77" s="80"/>
      <c r="H77" s="80"/>
      <c r="I77" s="80"/>
    </row>
    <row r="78" spans="1:12">
      <c r="F78" s="80"/>
      <c r="G78" s="80"/>
      <c r="H78" s="80"/>
      <c r="I78" s="80"/>
    </row>
    <row r="79" spans="1:12">
      <c r="F79" s="80"/>
      <c r="G79" s="80"/>
      <c r="H79" s="80"/>
      <c r="I79" s="80"/>
    </row>
    <row r="80" spans="1:12">
      <c r="F80" s="80"/>
      <c r="G80" s="80"/>
      <c r="H80" s="80"/>
      <c r="I80" s="80"/>
    </row>
    <row r="81" spans="6:9">
      <c r="F81" s="80"/>
      <c r="G81" s="80"/>
      <c r="H81" s="80"/>
      <c r="I81" s="80"/>
    </row>
    <row r="82" spans="6:9">
      <c r="F82" s="80"/>
      <c r="G82" s="80"/>
      <c r="H82" s="80"/>
      <c r="I82" s="80"/>
    </row>
    <row r="83" spans="6:9">
      <c r="F83" s="80"/>
      <c r="G83" s="80"/>
      <c r="H83" s="80"/>
      <c r="I83" s="80"/>
    </row>
  </sheetData>
  <sortState xmlns:xlrd2="http://schemas.microsoft.com/office/spreadsheetml/2017/richdata2" ref="A75:A134">
    <sortCondition ref="A75"/>
  </sortState>
  <mergeCells count="15"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  <mergeCell ref="A36:B36"/>
    <mergeCell ref="A46:B46"/>
    <mergeCell ref="A50:B50"/>
    <mergeCell ref="I7:I8"/>
    <mergeCell ref="E7:G7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2"/>
  <sheetViews>
    <sheetView showGridLines="0" view="pageBreakPreview" zoomScale="90" zoomScaleNormal="100" zoomScalePageLayoutView="70" workbookViewId="0">
      <selection activeCell="B21" sqref="B21"/>
    </sheetView>
  </sheetViews>
  <sheetFormatPr defaultColWidth="4.28515625" defaultRowHeight="12.75"/>
  <cols>
    <col min="1" max="1" width="56.42578125" style="66" customWidth="1"/>
    <col min="2" max="2" width="21.28515625" style="66" customWidth="1"/>
    <col min="3" max="3" width="7.42578125" style="67" customWidth="1"/>
    <col min="4" max="4" width="51.85546875" style="67" customWidth="1"/>
    <col min="5" max="5" width="18" style="67" customWidth="1"/>
    <col min="6" max="6" width="24" style="67" customWidth="1"/>
    <col min="7" max="7" width="17" style="67" customWidth="1"/>
    <col min="8" max="16384" width="4.28515625" style="67"/>
  </cols>
  <sheetData>
    <row r="1" spans="1:7" ht="18.600000000000001" customHeight="1">
      <c r="A1" s="625" t="s">
        <v>357</v>
      </c>
      <c r="B1" s="626"/>
      <c r="C1" s="626"/>
      <c r="D1" s="626"/>
      <c r="E1" s="626"/>
      <c r="F1" s="626"/>
      <c r="G1" s="627"/>
    </row>
    <row r="2" spans="1:7" ht="18.600000000000001" customHeight="1">
      <c r="A2" s="68"/>
      <c r="G2" s="69"/>
    </row>
    <row r="3" spans="1:7" ht="18.600000000000001" customHeight="1">
      <c r="A3" s="70" t="s">
        <v>6</v>
      </c>
      <c r="B3" s="71" t="str">
        <f>Capa!D5</f>
        <v>HOSPITAL REGIONAL TEREZINHA GAIO BASSO</v>
      </c>
      <c r="C3" s="72"/>
      <c r="D3" s="72"/>
      <c r="E3" s="73"/>
      <c r="F3" s="74"/>
      <c r="G3" s="69"/>
    </row>
    <row r="4" spans="1:7" ht="18.600000000000001" customHeight="1">
      <c r="A4" s="70" t="s">
        <v>7</v>
      </c>
      <c r="B4" s="75">
        <f>Assistencial!B4</f>
        <v>46054</v>
      </c>
      <c r="D4" s="66"/>
      <c r="E4" s="73"/>
      <c r="F4" s="73"/>
      <c r="G4" s="69"/>
    </row>
    <row r="5" spans="1:7" ht="18.600000000000001" customHeight="1">
      <c r="A5" s="68"/>
      <c r="D5" s="628" t="s">
        <v>358</v>
      </c>
      <c r="E5" s="628"/>
      <c r="F5" s="628"/>
      <c r="G5" s="76"/>
    </row>
    <row r="6" spans="1:7" ht="18.600000000000001" customHeight="1">
      <c r="A6" s="629" t="s">
        <v>359</v>
      </c>
      <c r="B6" s="630"/>
      <c r="D6" s="631" t="s">
        <v>360</v>
      </c>
      <c r="E6" s="632"/>
      <c r="F6" s="632"/>
      <c r="G6" s="633"/>
    </row>
    <row r="7" spans="1:7" ht="18.600000000000001" customHeight="1">
      <c r="A7" s="46"/>
      <c r="B7" s="48" t="s">
        <v>361</v>
      </c>
      <c r="D7" s="77" t="s">
        <v>362</v>
      </c>
      <c r="E7" s="50" t="s">
        <v>363</v>
      </c>
      <c r="F7" s="50" t="s">
        <v>364</v>
      </c>
      <c r="G7" s="51" t="s">
        <v>365</v>
      </c>
    </row>
    <row r="8" spans="1:7" ht="18.600000000000001" customHeight="1">
      <c r="A8" s="46" t="s">
        <v>366</v>
      </c>
      <c r="B8" s="52">
        <v>2365.94</v>
      </c>
      <c r="D8" s="400" t="s">
        <v>815</v>
      </c>
      <c r="E8" s="404" t="s">
        <v>816</v>
      </c>
      <c r="F8" s="404" t="s">
        <v>817</v>
      </c>
      <c r="G8" s="405">
        <v>5.6</v>
      </c>
    </row>
    <row r="9" spans="1:7" ht="18.600000000000001" customHeight="1">
      <c r="A9" s="54" t="s">
        <v>367</v>
      </c>
      <c r="B9" s="55">
        <v>348586.86</v>
      </c>
      <c r="D9" s="400" t="s">
        <v>818</v>
      </c>
      <c r="E9" s="404" t="s">
        <v>819</v>
      </c>
      <c r="F9" s="404" t="s">
        <v>820</v>
      </c>
      <c r="G9" s="405">
        <v>110</v>
      </c>
    </row>
    <row r="10" spans="1:7" ht="15">
      <c r="A10" s="46"/>
      <c r="B10" s="37"/>
      <c r="D10" s="400" t="s">
        <v>821</v>
      </c>
      <c r="E10" s="404" t="s">
        <v>822</v>
      </c>
      <c r="F10" s="404" t="s">
        <v>823</v>
      </c>
      <c r="G10" s="405">
        <v>1900</v>
      </c>
    </row>
    <row r="11" spans="1:7" ht="30" customHeight="1">
      <c r="A11" s="634" t="s">
        <v>368</v>
      </c>
      <c r="B11" s="635"/>
      <c r="D11" s="400" t="s">
        <v>824</v>
      </c>
      <c r="E11" s="404" t="s">
        <v>825</v>
      </c>
      <c r="F11" s="404" t="s">
        <v>826</v>
      </c>
      <c r="G11" s="405">
        <v>2545</v>
      </c>
    </row>
    <row r="12" spans="1:7" ht="15.95" customHeight="1">
      <c r="A12" s="46"/>
      <c r="B12" s="48" t="s">
        <v>369</v>
      </c>
      <c r="D12" s="400" t="s">
        <v>827</v>
      </c>
      <c r="E12" s="404" t="s">
        <v>57</v>
      </c>
      <c r="F12" s="404" t="s">
        <v>57</v>
      </c>
      <c r="G12" s="405" t="s">
        <v>57</v>
      </c>
    </row>
    <row r="13" spans="1:7" ht="18.600000000000001" customHeight="1">
      <c r="A13" s="46" t="s">
        <v>370</v>
      </c>
      <c r="B13" s="57">
        <v>7</v>
      </c>
      <c r="D13" s="400" t="s">
        <v>828</v>
      </c>
      <c r="E13" s="404" t="s">
        <v>829</v>
      </c>
      <c r="F13" s="404" t="s">
        <v>830</v>
      </c>
      <c r="G13" s="405">
        <v>375</v>
      </c>
    </row>
    <row r="14" spans="1:7" ht="18.600000000000001" customHeight="1">
      <c r="A14" s="54" t="s">
        <v>371</v>
      </c>
      <c r="B14" s="58">
        <v>210</v>
      </c>
      <c r="D14" s="400" t="s">
        <v>831</v>
      </c>
      <c r="E14" s="404" t="s">
        <v>57</v>
      </c>
      <c r="F14" s="404" t="s">
        <v>57</v>
      </c>
      <c r="G14" s="405" t="s">
        <v>57</v>
      </c>
    </row>
    <row r="15" spans="1:7" ht="18.600000000000001" customHeight="1">
      <c r="A15" s="36"/>
      <c r="B15" s="59"/>
      <c r="D15" s="400" t="s">
        <v>832</v>
      </c>
      <c r="E15" s="404" t="s">
        <v>816</v>
      </c>
      <c r="F15" s="404" t="s">
        <v>817</v>
      </c>
      <c r="G15" s="405">
        <v>1.47</v>
      </c>
    </row>
    <row r="16" spans="1:7" ht="18.600000000000001" customHeight="1">
      <c r="A16" s="619" t="s">
        <v>372</v>
      </c>
      <c r="B16" s="620"/>
      <c r="D16" s="400" t="s">
        <v>833</v>
      </c>
      <c r="E16" s="404" t="s">
        <v>57</v>
      </c>
      <c r="F16" s="404" t="s">
        <v>57</v>
      </c>
      <c r="G16" s="405" t="s">
        <v>57</v>
      </c>
    </row>
    <row r="17" spans="1:7" ht="18.600000000000001" customHeight="1">
      <c r="A17" s="621" t="s">
        <v>373</v>
      </c>
      <c r="B17" s="622"/>
      <c r="D17" s="400" t="s">
        <v>834</v>
      </c>
      <c r="E17" s="404" t="s">
        <v>835</v>
      </c>
      <c r="F17" s="404" t="s">
        <v>836</v>
      </c>
      <c r="G17" s="405">
        <v>94</v>
      </c>
    </row>
    <row r="18" spans="1:7" ht="18.600000000000001" customHeight="1">
      <c r="A18" s="46"/>
      <c r="B18" s="48" t="s">
        <v>374</v>
      </c>
      <c r="D18" s="400" t="s">
        <v>837</v>
      </c>
      <c r="E18" s="404" t="s">
        <v>57</v>
      </c>
      <c r="F18" s="404" t="s">
        <v>57</v>
      </c>
      <c r="G18" s="405" t="s">
        <v>57</v>
      </c>
    </row>
    <row r="19" spans="1:7" ht="18.600000000000001" customHeight="1">
      <c r="A19" s="46" t="s">
        <v>375</v>
      </c>
      <c r="B19" s="57">
        <v>43</v>
      </c>
      <c r="D19" s="400" t="s">
        <v>838</v>
      </c>
      <c r="E19" s="404" t="s">
        <v>57</v>
      </c>
      <c r="F19" s="404" t="s">
        <v>57</v>
      </c>
      <c r="G19" s="405" t="s">
        <v>57</v>
      </c>
    </row>
    <row r="20" spans="1:7" ht="15">
      <c r="A20" s="54" t="s">
        <v>376</v>
      </c>
      <c r="B20" s="58">
        <v>258820</v>
      </c>
      <c r="D20" s="400" t="s">
        <v>839</v>
      </c>
      <c r="E20" s="404" t="s">
        <v>840</v>
      </c>
      <c r="F20" s="404" t="s">
        <v>841</v>
      </c>
      <c r="G20" s="405">
        <v>149</v>
      </c>
    </row>
    <row r="21" spans="1:7" ht="18.600000000000001" customHeight="1">
      <c r="A21" s="36"/>
      <c r="B21" s="59"/>
      <c r="D21" s="400" t="s">
        <v>842</v>
      </c>
      <c r="E21" s="404" t="s">
        <v>57</v>
      </c>
      <c r="F21" s="404" t="s">
        <v>57</v>
      </c>
      <c r="G21" s="405" t="s">
        <v>57</v>
      </c>
    </row>
    <row r="22" spans="1:7" ht="18.600000000000001" customHeight="1">
      <c r="A22" s="36"/>
      <c r="B22" s="37"/>
      <c r="D22" s="400" t="s">
        <v>843</v>
      </c>
      <c r="E22" s="404" t="s">
        <v>844</v>
      </c>
      <c r="F22" s="404" t="s">
        <v>845</v>
      </c>
      <c r="G22" s="405">
        <v>75.59</v>
      </c>
    </row>
    <row r="23" spans="1:7" ht="18.600000000000001" customHeight="1">
      <c r="A23" s="46"/>
      <c r="B23" s="37"/>
      <c r="D23" s="400" t="s">
        <v>846</v>
      </c>
      <c r="E23" s="404" t="s">
        <v>847</v>
      </c>
      <c r="F23" s="404" t="s">
        <v>845</v>
      </c>
      <c r="G23" s="405">
        <v>70.59</v>
      </c>
    </row>
    <row r="24" spans="1:7" ht="28.5" customHeight="1">
      <c r="A24" s="623"/>
      <c r="B24" s="623"/>
      <c r="D24" s="400" t="s">
        <v>848</v>
      </c>
      <c r="E24" s="404" t="s">
        <v>849</v>
      </c>
      <c r="F24" s="404" t="s">
        <v>845</v>
      </c>
      <c r="G24" s="405">
        <v>70.2</v>
      </c>
    </row>
    <row r="25" spans="1:7" ht="18.600000000000001" customHeight="1">
      <c r="A25" s="36"/>
      <c r="B25" s="37"/>
      <c r="D25" s="400" t="s">
        <v>850</v>
      </c>
      <c r="E25" s="404" t="s">
        <v>851</v>
      </c>
      <c r="F25" s="404" t="s">
        <v>845</v>
      </c>
      <c r="G25" s="405">
        <v>64.17</v>
      </c>
    </row>
    <row r="26" spans="1:7" ht="18.600000000000001" customHeight="1">
      <c r="A26" s="36"/>
      <c r="B26" s="59"/>
      <c r="D26" s="400" t="s">
        <v>852</v>
      </c>
      <c r="E26" s="404" t="s">
        <v>853</v>
      </c>
      <c r="F26" s="404" t="s">
        <v>854</v>
      </c>
      <c r="G26" s="405">
        <v>0.4</v>
      </c>
    </row>
    <row r="27" spans="1:7" ht="27.75" customHeight="1">
      <c r="A27" s="36"/>
      <c r="B27" s="59"/>
      <c r="D27" s="400" t="s">
        <v>855</v>
      </c>
      <c r="E27" s="404" t="s">
        <v>856</v>
      </c>
      <c r="F27" s="404" t="s">
        <v>857</v>
      </c>
      <c r="G27" s="405">
        <v>9.6</v>
      </c>
    </row>
    <row r="28" spans="1:7" ht="18.600000000000001" customHeight="1">
      <c r="A28" s="36"/>
      <c r="B28" s="37"/>
      <c r="D28" s="400" t="s">
        <v>858</v>
      </c>
      <c r="E28" s="404" t="s">
        <v>859</v>
      </c>
      <c r="F28" s="404" t="s">
        <v>860</v>
      </c>
      <c r="G28" s="405">
        <v>2.89</v>
      </c>
    </row>
    <row r="29" spans="1:7" ht="18.600000000000001" customHeight="1">
      <c r="A29" s="36"/>
      <c r="B29" s="37"/>
      <c r="D29" s="400" t="s">
        <v>861</v>
      </c>
      <c r="E29" s="404" t="s">
        <v>862</v>
      </c>
      <c r="F29" s="404" t="s">
        <v>863</v>
      </c>
      <c r="G29" s="405">
        <v>39.9</v>
      </c>
    </row>
    <row r="30" spans="1:7" ht="16.5" customHeight="1">
      <c r="A30" s="624"/>
      <c r="B30" s="624"/>
      <c r="D30" s="400" t="s">
        <v>864</v>
      </c>
      <c r="E30" s="404" t="s">
        <v>865</v>
      </c>
      <c r="F30" s="404" t="s">
        <v>866</v>
      </c>
      <c r="G30" s="405">
        <v>91.26</v>
      </c>
    </row>
    <row r="31" spans="1:7" ht="17.100000000000001" customHeight="1">
      <c r="A31" s="36"/>
      <c r="B31" s="37"/>
      <c r="D31" s="400" t="s">
        <v>867</v>
      </c>
      <c r="E31" s="404" t="s">
        <v>868</v>
      </c>
      <c r="F31" s="404" t="s">
        <v>869</v>
      </c>
      <c r="G31" s="405">
        <v>68.25</v>
      </c>
    </row>
    <row r="32" spans="1:7" ht="17.100000000000001" customHeight="1">
      <c r="A32" s="36"/>
      <c r="B32" s="59"/>
      <c r="D32" s="400" t="s">
        <v>870</v>
      </c>
      <c r="E32" s="404" t="s">
        <v>57</v>
      </c>
      <c r="F32" s="404" t="s">
        <v>57</v>
      </c>
      <c r="G32" s="405" t="s">
        <v>57</v>
      </c>
    </row>
    <row r="33" spans="1:7" ht="17.100000000000001" customHeight="1">
      <c r="A33" s="36"/>
      <c r="B33" s="59"/>
      <c r="D33" s="400" t="s">
        <v>871</v>
      </c>
      <c r="E33" s="404" t="s">
        <v>816</v>
      </c>
      <c r="F33" s="404" t="s">
        <v>863</v>
      </c>
      <c r="G33" s="405">
        <v>34</v>
      </c>
    </row>
    <row r="34" spans="1:7" ht="17.100000000000001" customHeight="1">
      <c r="A34" s="36"/>
      <c r="B34" s="37"/>
      <c r="D34" s="400" t="s">
        <v>872</v>
      </c>
      <c r="E34" s="404" t="s">
        <v>816</v>
      </c>
      <c r="F34" s="404" t="s">
        <v>863</v>
      </c>
      <c r="G34" s="405">
        <v>125</v>
      </c>
    </row>
    <row r="35" spans="1:7" ht="17.100000000000001" customHeight="1">
      <c r="A35" s="36"/>
      <c r="B35" s="37"/>
      <c r="D35" s="400" t="s">
        <v>873</v>
      </c>
      <c r="E35" s="404" t="s">
        <v>874</v>
      </c>
      <c r="F35" s="404" t="s">
        <v>875</v>
      </c>
      <c r="G35" s="405">
        <v>510.95</v>
      </c>
    </row>
    <row r="36" spans="1:7" ht="17.100000000000001" customHeight="1">
      <c r="A36" s="624"/>
      <c r="B36" s="624"/>
      <c r="D36" s="400" t="s">
        <v>876</v>
      </c>
      <c r="E36" s="404" t="s">
        <v>57</v>
      </c>
      <c r="F36" s="404" t="s">
        <v>57</v>
      </c>
      <c r="G36" s="405" t="s">
        <v>57</v>
      </c>
    </row>
    <row r="37" spans="1:7" ht="15">
      <c r="A37" s="36"/>
      <c r="B37" s="37"/>
      <c r="D37" s="400" t="s">
        <v>877</v>
      </c>
      <c r="E37" s="404" t="s">
        <v>816</v>
      </c>
      <c r="F37" s="404" t="s">
        <v>860</v>
      </c>
      <c r="G37" s="405">
        <v>9.9</v>
      </c>
    </row>
    <row r="38" spans="1:7" ht="15">
      <c r="A38" s="36"/>
      <c r="B38" s="59"/>
      <c r="D38" s="400" t="s">
        <v>878</v>
      </c>
      <c r="E38" s="404" t="s">
        <v>816</v>
      </c>
      <c r="F38" s="405" t="s">
        <v>879</v>
      </c>
      <c r="G38" s="405">
        <v>2.75</v>
      </c>
    </row>
    <row r="39" spans="1:7" ht="15">
      <c r="A39" s="78"/>
      <c r="B39" s="78"/>
      <c r="C39" s="79"/>
      <c r="D39" s="400" t="s">
        <v>880</v>
      </c>
      <c r="E39" s="404" t="s">
        <v>57</v>
      </c>
      <c r="F39" s="404" t="s">
        <v>57</v>
      </c>
      <c r="G39" s="405" t="s">
        <v>57</v>
      </c>
    </row>
    <row r="40" spans="1:7" ht="15">
      <c r="D40" s="400" t="s">
        <v>881</v>
      </c>
      <c r="E40" s="404" t="s">
        <v>816</v>
      </c>
      <c r="F40" s="404" t="s">
        <v>882</v>
      </c>
      <c r="G40" s="405">
        <v>6.05</v>
      </c>
    </row>
    <row r="41" spans="1:7" ht="15">
      <c r="D41" s="400" t="s">
        <v>883</v>
      </c>
      <c r="E41" s="404" t="s">
        <v>816</v>
      </c>
      <c r="F41" s="404" t="s">
        <v>836</v>
      </c>
      <c r="G41" s="405">
        <v>65.81</v>
      </c>
    </row>
    <row r="42" spans="1:7" ht="15">
      <c r="D42" s="400" t="s">
        <v>884</v>
      </c>
      <c r="E42" s="404" t="s">
        <v>885</v>
      </c>
      <c r="F42" s="404" t="s">
        <v>886</v>
      </c>
      <c r="G42" s="405">
        <v>85.9</v>
      </c>
    </row>
    <row r="43" spans="1:7" ht="15">
      <c r="D43" s="400" t="s">
        <v>887</v>
      </c>
      <c r="E43" s="404" t="s">
        <v>57</v>
      </c>
      <c r="F43" s="404" t="s">
        <v>57</v>
      </c>
      <c r="G43" s="405" t="s">
        <v>57</v>
      </c>
    </row>
    <row r="44" spans="1:7" ht="15">
      <c r="D44" s="400" t="s">
        <v>888</v>
      </c>
      <c r="E44" s="404" t="s">
        <v>816</v>
      </c>
      <c r="F44" s="404" t="s">
        <v>836</v>
      </c>
      <c r="G44" s="405">
        <v>12.45</v>
      </c>
    </row>
    <row r="45" spans="1:7" ht="15">
      <c r="D45" s="400" t="s">
        <v>889</v>
      </c>
      <c r="E45" s="404" t="s">
        <v>890</v>
      </c>
      <c r="F45" s="404" t="s">
        <v>891</v>
      </c>
      <c r="G45" s="405">
        <v>6.35</v>
      </c>
    </row>
    <row r="46" spans="1:7" ht="15">
      <c r="D46" s="400" t="s">
        <v>892</v>
      </c>
      <c r="E46" s="404" t="s">
        <v>816</v>
      </c>
      <c r="F46" s="404" t="s">
        <v>893</v>
      </c>
      <c r="G46" s="405">
        <v>288.98</v>
      </c>
    </row>
    <row r="47" spans="1:7" ht="15">
      <c r="D47" s="400" t="s">
        <v>894</v>
      </c>
      <c r="E47" s="404" t="s">
        <v>816</v>
      </c>
      <c r="F47" s="404" t="s">
        <v>863</v>
      </c>
      <c r="G47" s="405">
        <v>6.38</v>
      </c>
    </row>
    <row r="48" spans="1:7" ht="15">
      <c r="D48" s="400" t="s">
        <v>895</v>
      </c>
      <c r="E48" s="404" t="s">
        <v>816</v>
      </c>
      <c r="F48" s="404" t="s">
        <v>896</v>
      </c>
      <c r="G48" s="405">
        <v>2.36</v>
      </c>
    </row>
    <row r="49" spans="4:7" ht="15">
      <c r="D49" s="400" t="s">
        <v>897</v>
      </c>
      <c r="E49" s="404" t="s">
        <v>816</v>
      </c>
      <c r="F49" s="404" t="s">
        <v>845</v>
      </c>
      <c r="G49" s="405">
        <v>2.99</v>
      </c>
    </row>
    <row r="50" spans="4:7" ht="15">
      <c r="D50" s="400" t="s">
        <v>898</v>
      </c>
      <c r="E50" s="404" t="s">
        <v>816</v>
      </c>
      <c r="F50" s="404" t="s">
        <v>845</v>
      </c>
      <c r="G50" s="405">
        <v>3.15</v>
      </c>
    </row>
    <row r="51" spans="4:7" ht="15">
      <c r="D51" s="400" t="s">
        <v>899</v>
      </c>
      <c r="E51" s="404" t="s">
        <v>57</v>
      </c>
      <c r="F51" s="404" t="s">
        <v>57</v>
      </c>
      <c r="G51" s="405" t="s">
        <v>57</v>
      </c>
    </row>
    <row r="52" spans="4:7" ht="15">
      <c r="D52" s="400" t="s">
        <v>900</v>
      </c>
      <c r="E52" s="404" t="s">
        <v>57</v>
      </c>
      <c r="F52" s="404" t="s">
        <v>57</v>
      </c>
      <c r="G52" s="405" t="s">
        <v>57</v>
      </c>
    </row>
  </sheetData>
  <sheetProtection selectLockedCells="1"/>
  <mergeCells count="10">
    <mergeCell ref="A1:G1"/>
    <mergeCell ref="D5:F5"/>
    <mergeCell ref="A6:B6"/>
    <mergeCell ref="D6:G6"/>
    <mergeCell ref="A11:B11"/>
    <mergeCell ref="A16:B16"/>
    <mergeCell ref="A17:B17"/>
    <mergeCell ref="A24:B24"/>
    <mergeCell ref="A30:B30"/>
    <mergeCell ref="A36:B36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90" zoomScaleNormal="90" zoomScaleSheetLayoutView="90" zoomScalePageLayoutView="70" workbookViewId="0">
      <selection activeCell="B4" sqref="B4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36" t="s">
        <v>377</v>
      </c>
      <c r="B1" s="637"/>
      <c r="C1" s="637"/>
      <c r="D1" s="637"/>
      <c r="E1" s="637"/>
      <c r="F1" s="638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39" t="str">
        <f>Assistencial!B3</f>
        <v>HOSPITAL REGIONAL TEREZINHA GAIO BASSO</v>
      </c>
      <c r="C3" s="639"/>
      <c r="D3" s="639"/>
      <c r="E3" s="43"/>
      <c r="F3" s="41"/>
    </row>
    <row r="4" spans="1:6" ht="22.5" customHeight="1">
      <c r="A4" s="42" t="s">
        <v>7</v>
      </c>
      <c r="B4" s="75">
        <f>Assistencial!B4</f>
        <v>46054</v>
      </c>
      <c r="C4" s="44"/>
      <c r="D4" s="45"/>
      <c r="E4" s="45"/>
      <c r="F4" s="41"/>
    </row>
    <row r="5" spans="1:6" ht="22.5" customHeight="1">
      <c r="A5" s="46"/>
      <c r="D5" s="47" t="s">
        <v>378</v>
      </c>
      <c r="F5" s="41"/>
    </row>
    <row r="6" spans="1:6" ht="22.5" customHeight="1">
      <c r="A6" s="629" t="s">
        <v>379</v>
      </c>
      <c r="B6" s="630"/>
      <c r="D6" s="631" t="s">
        <v>380</v>
      </c>
      <c r="E6" s="632"/>
      <c r="F6" s="633"/>
    </row>
    <row r="7" spans="1:6" ht="22.5" customHeight="1">
      <c r="A7" s="46"/>
      <c r="B7" s="48" t="s">
        <v>361</v>
      </c>
      <c r="D7" s="49" t="s">
        <v>381</v>
      </c>
      <c r="E7" s="50" t="s">
        <v>382</v>
      </c>
      <c r="F7" s="51" t="s">
        <v>365</v>
      </c>
    </row>
    <row r="8" spans="1:6" ht="22.5" customHeight="1">
      <c r="A8" s="46" t="s">
        <v>383</v>
      </c>
      <c r="B8" s="52">
        <v>0</v>
      </c>
      <c r="D8" s="400" t="s">
        <v>772</v>
      </c>
      <c r="E8" s="401" t="s">
        <v>773</v>
      </c>
      <c r="F8" s="402">
        <v>42.95</v>
      </c>
    </row>
    <row r="9" spans="1:6" ht="22.5" customHeight="1">
      <c r="A9" s="54" t="s">
        <v>384</v>
      </c>
      <c r="B9" s="55">
        <v>168037.05</v>
      </c>
      <c r="D9" s="400" t="s">
        <v>774</v>
      </c>
      <c r="E9" s="401" t="s">
        <v>57</v>
      </c>
      <c r="F9" s="402" t="s">
        <v>57</v>
      </c>
    </row>
    <row r="10" spans="1:6" ht="22.5" customHeight="1">
      <c r="A10" s="46"/>
      <c r="D10" s="400" t="s">
        <v>775</v>
      </c>
      <c r="E10" s="401" t="s">
        <v>57</v>
      </c>
      <c r="F10" s="402" t="s">
        <v>57</v>
      </c>
    </row>
    <row r="11" spans="1:6" ht="36" customHeight="1">
      <c r="A11" s="619" t="s">
        <v>385</v>
      </c>
      <c r="B11" s="620"/>
      <c r="D11" s="400" t="s">
        <v>776</v>
      </c>
      <c r="E11" s="401" t="s">
        <v>777</v>
      </c>
      <c r="F11" s="402">
        <v>16.95</v>
      </c>
    </row>
    <row r="12" spans="1:6" ht="22.5" customHeight="1">
      <c r="A12" s="621" t="s">
        <v>386</v>
      </c>
      <c r="B12" s="622"/>
      <c r="D12" s="400" t="s">
        <v>778</v>
      </c>
      <c r="E12" s="401" t="s">
        <v>779</v>
      </c>
      <c r="F12" s="402">
        <v>115</v>
      </c>
    </row>
    <row r="13" spans="1:6" ht="22.5" customHeight="1">
      <c r="A13" s="46"/>
      <c r="B13" s="48" t="s">
        <v>387</v>
      </c>
      <c r="D13" s="400" t="s">
        <v>780</v>
      </c>
      <c r="E13" s="401" t="s">
        <v>781</v>
      </c>
      <c r="F13" s="402">
        <v>144.9</v>
      </c>
    </row>
    <row r="14" spans="1:6" ht="22.5" customHeight="1">
      <c r="A14" s="46" t="s">
        <v>388</v>
      </c>
      <c r="B14" s="57">
        <v>31</v>
      </c>
      <c r="D14" s="400" t="s">
        <v>782</v>
      </c>
      <c r="E14" s="401" t="s">
        <v>57</v>
      </c>
      <c r="F14" s="402" t="s">
        <v>57</v>
      </c>
    </row>
    <row r="15" spans="1:6" ht="22.5" customHeight="1">
      <c r="A15" s="54" t="s">
        <v>389</v>
      </c>
      <c r="B15" s="58">
        <v>111674</v>
      </c>
      <c r="D15" s="400" t="s">
        <v>783</v>
      </c>
      <c r="E15" s="401" t="s">
        <v>57</v>
      </c>
      <c r="F15" s="402" t="s">
        <v>57</v>
      </c>
    </row>
    <row r="16" spans="1:6" ht="32.25" customHeight="1">
      <c r="A16" s="46"/>
      <c r="D16" s="400" t="s">
        <v>784</v>
      </c>
      <c r="E16" s="401" t="s">
        <v>785</v>
      </c>
      <c r="F16" s="403">
        <v>2.21</v>
      </c>
    </row>
    <row r="17" spans="1:6" ht="22.5" customHeight="1">
      <c r="A17" s="619" t="s">
        <v>390</v>
      </c>
      <c r="B17" s="620"/>
      <c r="D17" s="400" t="s">
        <v>786</v>
      </c>
      <c r="E17" s="401" t="s">
        <v>785</v>
      </c>
      <c r="F17" s="403">
        <v>2.21</v>
      </c>
    </row>
    <row r="18" spans="1:6" ht="22.5" customHeight="1">
      <c r="A18" s="621" t="s">
        <v>386</v>
      </c>
      <c r="B18" s="622"/>
      <c r="D18" s="400" t="s">
        <v>787</v>
      </c>
      <c r="E18" s="401" t="s">
        <v>773</v>
      </c>
      <c r="F18" s="403">
        <v>907.8</v>
      </c>
    </row>
    <row r="19" spans="1:6" ht="22.5" customHeight="1">
      <c r="A19" s="46"/>
      <c r="B19" s="48" t="s">
        <v>391</v>
      </c>
      <c r="D19" s="400" t="s">
        <v>788</v>
      </c>
      <c r="E19" s="401" t="s">
        <v>57</v>
      </c>
      <c r="F19" s="402" t="s">
        <v>57</v>
      </c>
    </row>
    <row r="20" spans="1:6" ht="22.5" customHeight="1">
      <c r="A20" s="46" t="s">
        <v>392</v>
      </c>
      <c r="B20" s="57">
        <v>0</v>
      </c>
      <c r="D20" s="400" t="s">
        <v>789</v>
      </c>
      <c r="E20" s="401" t="s">
        <v>779</v>
      </c>
      <c r="F20" s="403">
        <v>17.600000000000001</v>
      </c>
    </row>
    <row r="21" spans="1:6" ht="22.5" customHeight="1">
      <c r="A21" s="54" t="s">
        <v>393</v>
      </c>
      <c r="B21" s="58">
        <v>145</v>
      </c>
      <c r="D21" s="400" t="s">
        <v>790</v>
      </c>
      <c r="E21" s="401" t="s">
        <v>779</v>
      </c>
      <c r="F21" s="403">
        <v>22</v>
      </c>
    </row>
    <row r="22" spans="1:6" ht="22.5" customHeight="1">
      <c r="D22" s="400" t="s">
        <v>791</v>
      </c>
      <c r="E22" s="401" t="s">
        <v>779</v>
      </c>
      <c r="F22" s="403">
        <v>21</v>
      </c>
    </row>
    <row r="23" spans="1:6" ht="22.5" customHeight="1">
      <c r="B23" s="59"/>
      <c r="D23" s="400" t="s">
        <v>792</v>
      </c>
      <c r="E23" s="401" t="s">
        <v>57</v>
      </c>
      <c r="F23" s="402" t="s">
        <v>57</v>
      </c>
    </row>
    <row r="24" spans="1:6" ht="22.5" customHeight="1">
      <c r="D24" s="400" t="s">
        <v>793</v>
      </c>
      <c r="E24" s="401" t="s">
        <v>794</v>
      </c>
      <c r="F24" s="402">
        <v>11.09</v>
      </c>
    </row>
    <row r="25" spans="1:6" ht="22.5" customHeight="1">
      <c r="A25" s="60"/>
      <c r="B25" s="40"/>
      <c r="D25" s="400" t="s">
        <v>795</v>
      </c>
      <c r="E25" s="401" t="s">
        <v>796</v>
      </c>
      <c r="F25" s="403">
        <v>12.08</v>
      </c>
    </row>
    <row r="26" spans="1:6" ht="22.5" customHeight="1">
      <c r="A26" s="46"/>
      <c r="D26" s="400" t="s">
        <v>797</v>
      </c>
      <c r="E26" s="401" t="s">
        <v>57</v>
      </c>
      <c r="F26" s="402" t="s">
        <v>57</v>
      </c>
    </row>
    <row r="27" spans="1:6" ht="22.5" customHeight="1">
      <c r="A27" s="46"/>
      <c r="D27" s="400" t="s">
        <v>798</v>
      </c>
      <c r="E27" s="401" t="s">
        <v>781</v>
      </c>
      <c r="F27" s="402">
        <v>4.5</v>
      </c>
    </row>
    <row r="28" spans="1:6" ht="22.5" customHeight="1">
      <c r="A28" s="46"/>
      <c r="D28" s="400" t="s">
        <v>799</v>
      </c>
      <c r="E28" s="401" t="s">
        <v>800</v>
      </c>
      <c r="F28" s="403">
        <v>1.27</v>
      </c>
    </row>
    <row r="29" spans="1:6" ht="22.5" customHeight="1">
      <c r="D29" s="400" t="s">
        <v>801</v>
      </c>
      <c r="E29" s="401" t="s">
        <v>781</v>
      </c>
      <c r="F29" s="403">
        <v>1.99</v>
      </c>
    </row>
    <row r="30" spans="1:6" ht="22.5" customHeight="1">
      <c r="D30" s="400" t="s">
        <v>802</v>
      </c>
      <c r="E30" s="401" t="s">
        <v>781</v>
      </c>
      <c r="F30" s="403">
        <v>0.9</v>
      </c>
    </row>
    <row r="31" spans="1:6" ht="22.5" customHeight="1">
      <c r="D31" s="400" t="s">
        <v>803</v>
      </c>
      <c r="E31" s="401" t="s">
        <v>794</v>
      </c>
      <c r="F31" s="403">
        <v>129</v>
      </c>
    </row>
    <row r="32" spans="1:6" ht="22.5" customHeight="1">
      <c r="D32" s="400" t="s">
        <v>804</v>
      </c>
      <c r="E32" s="401" t="s">
        <v>805</v>
      </c>
      <c r="F32" s="402">
        <v>12.94</v>
      </c>
    </row>
    <row r="33" spans="4:6" ht="22.5" customHeight="1">
      <c r="D33" s="400" t="s">
        <v>806</v>
      </c>
      <c r="E33" s="401" t="s">
        <v>805</v>
      </c>
      <c r="F33" s="402">
        <v>13.25</v>
      </c>
    </row>
    <row r="34" spans="4:6" ht="22.5" customHeight="1">
      <c r="D34" s="400" t="s">
        <v>807</v>
      </c>
      <c r="E34" s="401" t="s">
        <v>805</v>
      </c>
      <c r="F34" s="403">
        <v>17.5</v>
      </c>
    </row>
    <row r="35" spans="4:6" ht="22.5" customHeight="1">
      <c r="D35" s="400" t="s">
        <v>808</v>
      </c>
      <c r="E35" s="401" t="s">
        <v>809</v>
      </c>
      <c r="F35" s="402">
        <v>0.22</v>
      </c>
    </row>
    <row r="36" spans="4:6" ht="22.5" customHeight="1">
      <c r="D36" s="400" t="s">
        <v>810</v>
      </c>
      <c r="E36" s="401" t="s">
        <v>811</v>
      </c>
      <c r="F36" s="403">
        <v>0.32</v>
      </c>
    </row>
    <row r="37" spans="4:6" ht="22.5" customHeight="1">
      <c r="D37" s="400" t="s">
        <v>812</v>
      </c>
      <c r="E37" s="401" t="s">
        <v>813</v>
      </c>
      <c r="F37" s="403">
        <v>9.65</v>
      </c>
    </row>
    <row r="38" spans="4:6" ht="22.5" customHeight="1">
      <c r="D38" s="400" t="s">
        <v>814</v>
      </c>
      <c r="E38" s="401" t="s">
        <v>57</v>
      </c>
      <c r="F38" s="402" t="s">
        <v>57</v>
      </c>
    </row>
    <row r="39" spans="4:6" ht="22.5" customHeight="1">
      <c r="D39" s="53"/>
      <c r="E39" s="61"/>
      <c r="F39" s="62"/>
    </row>
    <row r="40" spans="4:6" ht="22.5" customHeight="1">
      <c r="D40" s="56"/>
      <c r="E40" s="61"/>
      <c r="F40" s="62"/>
    </row>
    <row r="41" spans="4:6" ht="22.5" customHeight="1">
      <c r="D41" s="56"/>
      <c r="E41" s="61"/>
      <c r="F41" s="62"/>
    </row>
    <row r="42" spans="4:6" ht="22.5" customHeight="1">
      <c r="D42" s="53"/>
      <c r="E42" s="61"/>
      <c r="F42" s="62"/>
    </row>
    <row r="43" spans="4:6" ht="22.5" customHeight="1">
      <c r="D43" s="53"/>
      <c r="E43" s="61"/>
      <c r="F43" s="62"/>
    </row>
    <row r="44" spans="4:6" ht="22.5" customHeight="1">
      <c r="D44" s="53"/>
      <c r="E44" s="61"/>
      <c r="F44" s="62"/>
    </row>
    <row r="45" spans="4:6" ht="22.5" customHeight="1">
      <c r="D45" s="63"/>
      <c r="E45" s="64"/>
      <c r="F45" s="65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129"/>
  <sheetViews>
    <sheetView showGridLines="0" topLeftCell="A63" zoomScaleNormal="100" zoomScaleSheetLayoutView="70" zoomScalePageLayoutView="80" workbookViewId="0">
      <selection activeCell="B68" sqref="B68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40" t="s">
        <v>394</v>
      </c>
      <c r="B1" s="641"/>
    </row>
    <row r="2" spans="1:2" ht="21.75" customHeight="1">
      <c r="A2" s="2"/>
      <c r="B2"/>
    </row>
    <row r="3" spans="1:2" ht="21.75" customHeight="1">
      <c r="A3" s="642" t="s">
        <v>395</v>
      </c>
      <c r="B3" s="642"/>
    </row>
    <row r="4" spans="1:2" ht="21.75" customHeight="1">
      <c r="A4" s="643" t="str">
        <f>Assistencial!B3</f>
        <v>HOSPITAL REGIONAL TEREZINHA GAIO BASSO</v>
      </c>
      <c r="B4" s="644"/>
    </row>
    <row r="5" spans="1:2" ht="21.75" customHeight="1">
      <c r="A5"/>
      <c r="B5"/>
    </row>
    <row r="6" spans="1:2" ht="21.75" customHeight="1">
      <c r="A6" s="645" t="s">
        <v>7</v>
      </c>
      <c r="B6" s="645"/>
    </row>
    <row r="7" spans="1:2" ht="21.75" customHeight="1">
      <c r="A7" s="646">
        <f>Assistencial!B4</f>
        <v>46054</v>
      </c>
      <c r="B7" s="646"/>
    </row>
    <row r="8" spans="1:2" ht="21.75" customHeight="1">
      <c r="B8" s="3"/>
    </row>
    <row r="9" spans="1:2" ht="21.75" customHeight="1">
      <c r="A9" s="4" t="s">
        <v>396</v>
      </c>
      <c r="B9" s="5">
        <f>A7</f>
        <v>46054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0</v>
      </c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155592.13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1045+13192.55+97763.81</f>
        <v>112001.36</v>
      </c>
    </row>
    <row r="22" spans="1:2" ht="21.75" customHeight="1">
      <c r="A22" s="12" t="s">
        <v>410</v>
      </c>
      <c r="B22" s="9">
        <v>54.31</v>
      </c>
    </row>
    <row r="23" spans="1:2" ht="21.75" customHeight="1">
      <c r="A23" s="10" t="s">
        <v>411</v>
      </c>
      <c r="B23" s="11">
        <f>SUM(B17:B22)</f>
        <v>267647.8</v>
      </c>
    </row>
    <row r="24" spans="1:2" ht="21.75" customHeight="1">
      <c r="A24" s="13" t="s">
        <v>412</v>
      </c>
      <c r="B24" s="14">
        <f>B23+B16</f>
        <v>5829071.7599999998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46054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2154731.8000000003</v>
      </c>
    </row>
    <row r="29" spans="1:2" ht="21.75" customHeight="1">
      <c r="A29" s="10" t="s">
        <v>415</v>
      </c>
      <c r="B29" s="11">
        <f>SUM(B30:B31)</f>
        <v>1704467.79</v>
      </c>
    </row>
    <row r="30" spans="1:2" ht="21.75" customHeight="1">
      <c r="A30" s="12" t="s">
        <v>416</v>
      </c>
      <c r="B30" s="9">
        <f>1720407.6-29395.12+13455.31</f>
        <v>1704467.79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181720.59-20914.24</f>
        <v>160806.35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179669.61-26490.77</f>
        <v>153178.84</v>
      </c>
    </row>
    <row r="37" spans="1:2" ht="21.75" customHeight="1">
      <c r="A37" s="12" t="s">
        <v>423</v>
      </c>
      <c r="B37" s="9">
        <f>136586.22-307.4</f>
        <v>136278.82</v>
      </c>
    </row>
    <row r="38" spans="1:2" ht="21.75" customHeight="1">
      <c r="A38" s="12" t="s">
        <v>424</v>
      </c>
      <c r="B38" s="9">
        <v>0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833591.83999999985</v>
      </c>
    </row>
    <row r="41" spans="1:2" ht="21.75" customHeight="1">
      <c r="A41" s="12" t="s">
        <v>427</v>
      </c>
      <c r="B41" s="9">
        <f>66902.52-0.02+185006.92-3181.96+22928.8</f>
        <v>271656.26</v>
      </c>
    </row>
    <row r="42" spans="1:2" ht="21.75" customHeight="1">
      <c r="A42" s="12" t="s">
        <v>428</v>
      </c>
      <c r="B42" s="9">
        <f>291525.16-347.21+180613.68-B43</f>
        <v>446571.17999999993</v>
      </c>
    </row>
    <row r="43" spans="1:2" ht="21.75" customHeight="1">
      <c r="A43" s="12" t="s">
        <v>429</v>
      </c>
      <c r="B43" s="9">
        <v>25220.45</v>
      </c>
    </row>
    <row r="44" spans="1:2" ht="21.75" customHeight="1">
      <c r="A44" s="12" t="s">
        <v>430</v>
      </c>
      <c r="B44" s="9">
        <v>19055.52</v>
      </c>
    </row>
    <row r="45" spans="1:2" ht="21.75" customHeight="1">
      <c r="A45" s="12" t="s">
        <v>431</v>
      </c>
      <c r="B45" s="9">
        <v>71088.429999999993</v>
      </c>
    </row>
    <row r="46" spans="1:2" ht="21.75" customHeight="1">
      <c r="A46" s="10" t="s">
        <v>432</v>
      </c>
      <c r="B46" s="11">
        <f>SUM(B47:B54)</f>
        <v>281071.96000000008</v>
      </c>
    </row>
    <row r="47" spans="1:2" ht="21.75" customHeight="1">
      <c r="A47" s="12" t="s">
        <v>433</v>
      </c>
      <c r="B47" s="9">
        <f>34047.92-0.03+7213.5</f>
        <v>41261.39</v>
      </c>
    </row>
    <row r="48" spans="1:2" ht="21.75" customHeight="1">
      <c r="A48" s="12" t="s">
        <v>434</v>
      </c>
      <c r="B48" s="9">
        <f>95907.49-6.98</f>
        <v>95900.510000000009</v>
      </c>
    </row>
    <row r="49" spans="1:2" ht="21.75" customHeight="1">
      <c r="A49" s="12" t="s">
        <v>435</v>
      </c>
      <c r="B49" s="9">
        <f>22435.59-0.01</f>
        <v>22435.58</v>
      </c>
    </row>
    <row r="50" spans="1:2" ht="21.75" customHeight="1">
      <c r="A50" s="12" t="s">
        <v>436</v>
      </c>
      <c r="B50" s="9">
        <v>11243.63</v>
      </c>
    </row>
    <row r="51" spans="1:2" ht="21.75" customHeight="1">
      <c r="A51" s="12" t="s">
        <v>437</v>
      </c>
      <c r="B51" s="9">
        <v>5897.7</v>
      </c>
    </row>
    <row r="52" spans="1:2" ht="21.75" customHeight="1">
      <c r="A52" s="12" t="s">
        <v>438</v>
      </c>
      <c r="B52" s="9">
        <v>53772.49</v>
      </c>
    </row>
    <row r="53" spans="1:2" ht="21.75" customHeight="1">
      <c r="A53" s="12" t="s">
        <v>439</v>
      </c>
      <c r="B53" s="9">
        <v>50560.66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4185.25</v>
      </c>
    </row>
    <row r="56" spans="1:2" ht="21.75" customHeight="1">
      <c r="A56" s="12" t="s">
        <v>442</v>
      </c>
      <c r="B56" s="9">
        <v>1233.3</v>
      </c>
    </row>
    <row r="57" spans="1:2" ht="21.75" customHeight="1">
      <c r="A57" s="12" t="s">
        <v>443</v>
      </c>
      <c r="B57" s="9">
        <v>2951.95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260070.16000000003</v>
      </c>
    </row>
    <row r="60" spans="1:2" ht="21.75" customHeight="1">
      <c r="A60" s="12" t="s">
        <v>446</v>
      </c>
      <c r="B60" s="9">
        <v>2631.61</v>
      </c>
    </row>
    <row r="61" spans="1:2" ht="21.75" customHeight="1">
      <c r="A61" s="12" t="s">
        <v>447</v>
      </c>
      <c r="B61" s="9">
        <v>8216.6299999999992</v>
      </c>
    </row>
    <row r="62" spans="1:2" ht="21.75" customHeight="1">
      <c r="A62" s="12" t="s">
        <v>448</v>
      </c>
      <c r="B62" s="9">
        <v>72163.850000000006</v>
      </c>
    </row>
    <row r="63" spans="1:2" ht="21.75" customHeight="1">
      <c r="A63" s="12" t="s">
        <v>449</v>
      </c>
      <c r="B63" s="9">
        <f>8293.54+6092.52</f>
        <v>14386.060000000001</v>
      </c>
    </row>
    <row r="64" spans="1:2" ht="21.75" customHeight="1">
      <c r="A64" s="12" t="s">
        <v>450</v>
      </c>
      <c r="B64" s="9">
        <f>125709.11-0.02+30868.06+1774.85+693+3627.01</f>
        <v>162672.01</v>
      </c>
    </row>
    <row r="65" spans="1:2" ht="21.75" customHeight="1">
      <c r="A65" s="10" t="s">
        <v>451</v>
      </c>
      <c r="B65" s="11">
        <f>B66+B71+B75</f>
        <v>2230336.0299999998</v>
      </c>
    </row>
    <row r="66" spans="1:2" ht="21.75" customHeight="1">
      <c r="A66" s="10" t="s">
        <v>452</v>
      </c>
      <c r="B66" s="11">
        <f>SUM(B67:B70)</f>
        <v>1911890.18</v>
      </c>
    </row>
    <row r="67" spans="1:2" ht="21.75" customHeight="1">
      <c r="A67" s="12" t="s">
        <v>453</v>
      </c>
      <c r="B67" s="9">
        <f>119661.24+15057.45+1777171.49</f>
        <v>1911890.18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244764.22</v>
      </c>
    </row>
    <row r="72" spans="1:2" ht="21.75" customHeight="1">
      <c r="A72" s="12" t="s">
        <v>458</v>
      </c>
      <c r="B72" s="9">
        <f>78108.91+140366.11+26289.2</f>
        <v>244764.22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73681.63</v>
      </c>
    </row>
    <row r="76" spans="1:2" ht="21.75" customHeight="1">
      <c r="A76" s="12" t="s">
        <v>462</v>
      </c>
      <c r="B76" s="9">
        <v>73681.63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5763987.04</v>
      </c>
    </row>
    <row r="79" spans="1:2" ht="21.75" customHeight="1">
      <c r="A79" s="6" t="s">
        <v>465</v>
      </c>
      <c r="B79" s="18">
        <f>B24-B78</f>
        <v>65084.719999999739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21499.11</v>
      </c>
    </row>
    <row r="82" spans="1:2" ht="21.75" customHeight="1">
      <c r="A82" s="21" t="s">
        <v>467</v>
      </c>
      <c r="B82" s="9">
        <v>8244.11</v>
      </c>
    </row>
    <row r="83" spans="1:2" ht="21.75" customHeight="1">
      <c r="A83" s="21" t="s">
        <v>468</v>
      </c>
      <c r="B83" s="9">
        <f>8460+4795</f>
        <v>13255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46054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46054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11212902.59</v>
      </c>
    </row>
    <row r="99" spans="1:2" ht="21.75" customHeight="1">
      <c r="A99" s="21" t="s">
        <v>474</v>
      </c>
      <c r="B99" s="9">
        <v>11212902.59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46054</v>
      </c>
    </row>
    <row r="106" spans="1:2" ht="21.75" customHeight="1">
      <c r="A106" s="27" t="s">
        <v>472</v>
      </c>
      <c r="B106" s="31">
        <v>21314572.359999999</v>
      </c>
    </row>
    <row r="107" spans="1:2" ht="21.75" customHeight="1">
      <c r="A107" s="21" t="s">
        <v>473</v>
      </c>
      <c r="B107" s="9">
        <f>5551129.29+8425.02</f>
        <v>5559554.3099999996</v>
      </c>
    </row>
    <row r="108" spans="1:2" ht="21.75" customHeight="1">
      <c r="A108" s="21" t="s">
        <v>474</v>
      </c>
      <c r="B108" s="9">
        <f>5646493.1+13328.42-B109</f>
        <v>5504229.3899999997</v>
      </c>
    </row>
    <row r="109" spans="1:2" ht="21.75" customHeight="1">
      <c r="A109" s="21" t="s">
        <v>481</v>
      </c>
      <c r="B109" s="9">
        <v>155592.13</v>
      </c>
    </row>
    <row r="110" spans="1:2" ht="21.75" customHeight="1">
      <c r="A110" s="32" t="s">
        <v>482</v>
      </c>
      <c r="B110" s="18">
        <f>B106-B107+B108+B109</f>
        <v>21414839.57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21414839.57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46054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9">
        <f>3021148.36+1498521.93+879769.11+173993.8</f>
        <v>5573433.2000000002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5573433.2000000002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46054</v>
      </c>
    </row>
    <row r="124" spans="1:2" ht="21.75" customHeight="1">
      <c r="A124" s="27" t="s">
        <v>472</v>
      </c>
      <c r="B124" s="31">
        <v>10887859.9</v>
      </c>
    </row>
    <row r="125" spans="1:2" ht="21.75" customHeight="1">
      <c r="A125" s="27" t="s">
        <v>490</v>
      </c>
      <c r="B125" s="31">
        <f>SUM(B36:B38)</f>
        <v>289457.66000000003</v>
      </c>
    </row>
    <row r="126" spans="1:2" ht="21.75" customHeight="1">
      <c r="A126" s="21" t="s">
        <v>491</v>
      </c>
      <c r="B126" s="9">
        <f>247131.5-173883.14</f>
        <v>73248.359999999986</v>
      </c>
    </row>
    <row r="127" spans="1:2" ht="21.75" customHeight="1">
      <c r="A127" s="21" t="s">
        <v>492</v>
      </c>
      <c r="B127" s="9">
        <f>-4500.55+136278.82</f>
        <v>131778.27000000002</v>
      </c>
    </row>
    <row r="128" spans="1:2" ht="21.75" customHeight="1">
      <c r="A128" s="21" t="s">
        <v>493</v>
      </c>
      <c r="B128" s="9">
        <f>29768.62-27718.23</f>
        <v>2050.3899999999994</v>
      </c>
    </row>
    <row r="129" spans="1:2" ht="21.75" customHeight="1">
      <c r="A129" s="29" t="s">
        <v>494</v>
      </c>
      <c r="B129" s="18">
        <f>B124+B125-B126-B127-B128</f>
        <v>10970240.540000001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scale="58" orientation="landscape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2023-01-31T18:37:00Z</cp:lastPrinted>
  <dcterms:created xsi:type="dcterms:W3CDTF">2011-05-06T11:59:00Z</dcterms:created>
  <dcterms:modified xsi:type="dcterms:W3CDTF">2026-04-13T18:22:29Z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