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8. METAS HRTGB\ESTATÍSTICA DO ESTADO\Estatísticas do Estado 2026\"/>
    </mc:Choice>
  </mc:AlternateContent>
  <xr:revisionPtr revIDLastSave="0" documentId="13_ncr:1_{20F1FC6A-DB7D-4F3D-A444-478718C40EE5}" xr6:coauthVersionLast="47" xr6:coauthVersionMax="47" xr10:uidLastSave="{00000000-0000-0000-0000-000000000000}"/>
  <bookViews>
    <workbookView xWindow="-120" yWindow="-120" windowWidth="29040" windowHeight="17640" tabRatio="942" activeTab="4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Cirúrgica'!$A$1:$D$183</definedName>
    <definedName name="_xlnm.Print_Area" localSheetId="1">Leitos!$A$1:$F$44</definedName>
    <definedName name="_xlnm.Print_Area" localSheetId="11">Materiais!$A$1:$F$45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B33" i="8" l="1"/>
  <c r="D55" i="8"/>
  <c r="B8" i="15"/>
  <c r="B9" i="15" l="1"/>
  <c r="B128" i="5"/>
  <c r="B127" i="5"/>
  <c r="B126" i="5"/>
  <c r="B118" i="5"/>
  <c r="B108" i="5"/>
  <c r="B107" i="5"/>
  <c r="B72" i="5"/>
  <c r="B67" i="5"/>
  <c r="B64" i="5"/>
  <c r="B63" i="5"/>
  <c r="B53" i="5"/>
  <c r="B52" i="5"/>
  <c r="B49" i="5"/>
  <c r="B47" i="5"/>
  <c r="B42" i="5"/>
  <c r="B41" i="5"/>
  <c r="B38" i="5"/>
  <c r="B36" i="5"/>
  <c r="B33" i="5"/>
  <c r="B30" i="5"/>
  <c r="B21" i="5"/>
  <c r="B15" i="15" l="1"/>
  <c r="F14" i="20" l="1"/>
  <c r="B13" i="20"/>
  <c r="B12" i="20"/>
  <c r="B11" i="20"/>
  <c r="B10" i="20"/>
  <c r="B9" i="20"/>
  <c r="B8" i="20"/>
  <c r="E32" i="8"/>
  <c r="C145" i="17"/>
  <c r="C175" i="17"/>
  <c r="B4" i="8"/>
  <c r="H19" i="16"/>
  <c r="H18" i="16"/>
  <c r="H17" i="16"/>
  <c r="H16" i="16"/>
  <c r="H20" i="16" l="1"/>
  <c r="B125" i="5"/>
  <c r="B129" i="5" s="1"/>
  <c r="B120" i="5"/>
  <c r="B110" i="5"/>
  <c r="B102" i="5"/>
  <c r="B93" i="5"/>
  <c r="B81" i="5"/>
  <c r="B75" i="5"/>
  <c r="B71" i="5"/>
  <c r="B66" i="5"/>
  <c r="B59" i="5"/>
  <c r="B55" i="5"/>
  <c r="B46" i="5"/>
  <c r="B40" i="5"/>
  <c r="B29" i="5"/>
  <c r="B28" i="5"/>
  <c r="A26" i="5"/>
  <c r="B23" i="5"/>
  <c r="B16" i="5"/>
  <c r="A7" i="5"/>
  <c r="B105" i="5" s="1"/>
  <c r="A4" i="5"/>
  <c r="G73" i="15"/>
  <c r="F73" i="15"/>
  <c r="E73" i="15"/>
  <c r="B52" i="15"/>
  <c r="B38" i="15"/>
  <c r="B29" i="15"/>
  <c r="L26" i="15"/>
  <c r="K26" i="15"/>
  <c r="J26" i="15"/>
  <c r="B19" i="15"/>
  <c r="B3" i="15"/>
  <c r="F20" i="16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H51" i="8"/>
  <c r="G51" i="8"/>
  <c r="F51" i="8"/>
  <c r="E51" i="8"/>
  <c r="D51" i="8"/>
  <c r="C51" i="8"/>
  <c r="H32" i="8"/>
  <c r="I26" i="8" s="1"/>
  <c r="F32" i="8"/>
  <c r="G29" i="8"/>
  <c r="G28" i="8"/>
  <c r="G27" i="8"/>
  <c r="G26" i="8"/>
  <c r="D20" i="8"/>
  <c r="C20" i="8"/>
  <c r="B20" i="8"/>
  <c r="C183" i="17"/>
  <c r="C9" i="17"/>
  <c r="C8" i="17"/>
  <c r="C16" i="17"/>
  <c r="C22" i="17" s="1"/>
  <c r="D56" i="21"/>
  <c r="D43" i="21"/>
  <c r="E30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4" i="21"/>
  <c r="D13" i="21"/>
  <c r="D12" i="21"/>
  <c r="D11" i="21"/>
  <c r="D10" i="21"/>
  <c r="D9" i="21"/>
  <c r="D8" i="21"/>
  <c r="D78" i="18"/>
  <c r="C78" i="18"/>
  <c r="B78" i="18"/>
  <c r="E77" i="18"/>
  <c r="E78" i="18" s="1"/>
  <c r="D73" i="18"/>
  <c r="C73" i="18"/>
  <c r="B73" i="18"/>
  <c r="E72" i="18"/>
  <c r="E73" i="18" s="1"/>
  <c r="E71" i="18"/>
  <c r="E76" i="18" s="1"/>
  <c r="D71" i="18"/>
  <c r="D76" i="18" s="1"/>
  <c r="C71" i="18"/>
  <c r="C76" i="18" s="1"/>
  <c r="B71" i="18"/>
  <c r="B76" i="18" s="1"/>
  <c r="D68" i="18"/>
  <c r="C68" i="18"/>
  <c r="B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F38" i="20" s="1"/>
  <c r="E15" i="20"/>
  <c r="D15" i="20"/>
  <c r="C15" i="20"/>
  <c r="B15" i="20"/>
  <c r="B37" i="20"/>
  <c r="F13" i="20"/>
  <c r="E36" i="20" s="1"/>
  <c r="F12" i="20"/>
  <c r="B35" i="20" s="1"/>
  <c r="F11" i="20"/>
  <c r="E34" i="20" s="1"/>
  <c r="F10" i="20"/>
  <c r="B33" i="20" s="1"/>
  <c r="F9" i="20"/>
  <c r="E32" i="20" s="1"/>
  <c r="F8" i="20"/>
  <c r="B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B24" i="5" l="1"/>
  <c r="F15" i="20"/>
  <c r="B89" i="5"/>
  <c r="B9" i="5"/>
  <c r="B26" i="5" s="1"/>
  <c r="B112" i="5"/>
  <c r="E33" i="20"/>
  <c r="C43" i="22"/>
  <c r="B65" i="5"/>
  <c r="B78" i="5" s="1"/>
  <c r="D38" i="20"/>
  <c r="E31" i="18"/>
  <c r="B27" i="20"/>
  <c r="E31" i="20"/>
  <c r="E35" i="20"/>
  <c r="E37" i="20"/>
  <c r="B96" i="5"/>
  <c r="B29" i="8"/>
  <c r="B32" i="20"/>
  <c r="B34" i="20"/>
  <c r="B36" i="20"/>
  <c r="D45" i="18"/>
  <c r="F30" i="21"/>
  <c r="B123" i="5"/>
  <c r="D37" i="18"/>
  <c r="E68" i="18"/>
  <c r="D16" i="21"/>
  <c r="C10" i="17"/>
  <c r="D16" i="17" s="1"/>
  <c r="C21" i="17"/>
  <c r="I29" i="8"/>
  <c r="I27" i="8"/>
  <c r="I28" i="8"/>
  <c r="I30" i="8"/>
  <c r="G32" i="8"/>
  <c r="B20" i="16"/>
  <c r="G20" i="16"/>
  <c r="J20" i="16" s="1"/>
  <c r="I16" i="16"/>
  <c r="I17" i="16"/>
  <c r="I18" i="16"/>
  <c r="I19" i="16"/>
  <c r="J16" i="16"/>
  <c r="B79" i="5" l="1"/>
  <c r="I20" i="16"/>
  <c r="E38" i="20"/>
  <c r="B115" i="5"/>
  <c r="B37" i="8"/>
  <c r="C8" i="8"/>
  <c r="D12" i="8"/>
  <c r="B38" i="20"/>
  <c r="C36" i="20" s="1"/>
  <c r="I32" i="8"/>
  <c r="C34" i="20" l="1"/>
  <c r="C32" i="20"/>
  <c r="C38" i="20"/>
  <c r="C31" i="20"/>
  <c r="C33" i="20"/>
  <c r="C35" i="20"/>
  <c r="C37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HRTGB-DELL09</author>
  </authors>
  <commentList>
    <comment ref="B15" authorId="0" shapeId="0" xr:uid="{6DEC5759-D998-4360-9C6A-57A552E4D91D}">
      <text>
        <r>
          <rPr>
            <b/>
            <sz val="9"/>
            <color indexed="81"/>
            <rFont val="Segoe UI"/>
            <charset val="1"/>
          </rPr>
          <t>Desconto referente a devolução do valor constante na Ata da 4ª
Reunião da CAF do CG. 04/2022. Parcela 2/4 (PSES 39250/2026)</t>
        </r>
        <r>
          <rPr>
            <sz val="9"/>
            <color indexed="81"/>
            <rFont val="Segoe UI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<sst xmlns="http://schemas.openxmlformats.org/spreadsheetml/2006/main" count="1150" uniqueCount="922">
  <si>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</si>
  <si>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</si>
  <si>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</si>
  <si>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</si>
  <si>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</si>
  <si>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</si>
  <si>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</si>
  <si>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</si>
  <si>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</si>
  <si>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</si>
  <si>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</si>
  <si>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</si>
  <si>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</si>
  <si>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</si>
  <si>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</si>
  <si>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</si>
  <si>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</si>
  <si>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</si>
  <si>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</si>
  <si>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</si>
  <si>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</si>
  <si>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</si>
  <si>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</si>
  <si>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</si>
  <si>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</si>
  <si>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</si>
  <si>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</si>
  <si>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</si>
  <si>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</si>
  <si>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</si>
  <si>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</si>
  <si>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</si>
  <si>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</si>
  <si>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</si>
  <si>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</si>
  <si>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</si>
  <si>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</si>
  <si>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</si>
  <si>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</si>
  <si>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</si>
  <si>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</si>
  <si>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</si>
  <si>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</si>
  <si>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</si>
  <si>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</si>
  <si>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</si>
  <si>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</si>
  <si>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</si>
  <si>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</si>
  <si>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</si>
  <si>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</si>
  <si>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</si>
  <si>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</si>
  <si>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</si>
  <si>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</si>
  <si>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</si>
  <si>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</si>
  <si>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</si>
  <si>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</si>
  <si>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</si>
  <si>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</si>
  <si>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</si>
  <si>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</si>
  <si>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</si>
  <si>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</si>
  <si>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</si>
  <si>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</si>
  <si>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</si>
  <si>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</si>
  <si>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</si>
  <si>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</si>
  <si>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</si>
  <si>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</si>
  <si>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</si>
  <si>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</si>
  <si>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</si>
  <si>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</si>
  <si>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</si>
  <si>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</si>
  <si>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</si>
  <si>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</si>
  <si>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</si>
  <si>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</si>
  <si>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</si>
  <si>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</si>
  <si>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</si>
  <si>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</si>
  <si>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</si>
  <si>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</si>
  <si>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</si>
  <si>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</si>
  <si>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</si>
  <si>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</si>
  <si>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</si>
  <si>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</si>
  <si>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</si>
  <si>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</si>
  <si>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</si>
  <si>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</si>
  <si>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</si>
  <si>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</si>
  <si>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</si>
  <si>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</si>
  <si>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</si>
  <si>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</si>
  <si>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</si>
  <si>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</si>
  <si>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</si>
  <si>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</si>
  <si>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</si>
  <si>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</si>
  <si>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</si>
  <si>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</si>
  <si>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</si>
  <si>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</si>
  <si>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</si>
  <si>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</si>
  <si>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</si>
  <si>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</si>
  <si>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</si>
  <si>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</si>
  <si>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</si>
  <si>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</si>
  <si>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</si>
  <si>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</si>
  <si>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</si>
  <si>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</si>
  <si>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</si>
  <si>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</si>
  <si>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</si>
  <si>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Total / Meta Mês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</si>
  <si>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</si>
  <si>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</si>
  <si>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</si>
  <si>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</si>
  <si>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</si>
  <si>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</si>
  <si>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</si>
  <si>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</si>
  <si>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</si>
  <si>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</si>
  <si>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</si>
  <si>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</si>
  <si>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</si>
  <si>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</si>
  <si>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</si>
  <si>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</si>
  <si>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</si>
  <si>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</si>
  <si>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</si>
  <si>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</si>
  <si>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</si>
  <si>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</si>
  <si>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</si>
  <si>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</si>
  <si>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</si>
  <si>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</si>
  <si>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</si>
  <si>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</si>
  <si>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</si>
  <si>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</si>
  <si>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</si>
  <si>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</si>
  <si>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</si>
  <si>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</si>
  <si>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</si>
  <si>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</si>
  <si>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</si>
  <si>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</si>
  <si>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</si>
  <si>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</si>
  <si>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</si>
  <si>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</si>
  <si>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</si>
  <si>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</si>
  <si>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</si>
  <si>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</si>
  <si>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</si>
  <si>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</si>
  <si>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</si>
  <si>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</si>
  <si>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</si>
  <si>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</si>
  <si>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</si>
  <si>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</si>
  <si>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</si>
  <si>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</si>
  <si>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</si>
  <si>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</si>
  <si>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</si>
  <si>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</si>
  <si>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</si>
  <si>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</si>
  <si>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</si>
  <si>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</si>
  <si>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</si>
  <si>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</si>
  <si>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</si>
  <si>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</si>
  <si>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</si>
  <si>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</si>
  <si>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</si>
  <si>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</si>
  <si>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</si>
  <si>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</si>
  <si>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</si>
  <si>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</si>
  <si>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</si>
  <si>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</si>
  <si>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</si>
  <si>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</si>
  <si>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</si>
  <si>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</si>
  <si>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</si>
  <si>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</si>
  <si>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</si>
  <si>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</si>
  <si>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</si>
  <si>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</si>
  <si>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</si>
  <si>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</si>
  <si>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</si>
  <si>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</si>
  <si>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</si>
  <si>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</si>
  <si>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</si>
  <si>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</si>
  <si>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</si>
  <si>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</si>
  <si>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</si>
  <si>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</si>
  <si>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</si>
  <si>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</si>
  <si>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</si>
  <si>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</si>
  <si>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</si>
  <si>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</si>
  <si>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</si>
  <si>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</si>
  <si>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</si>
  <si>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</si>
  <si>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</si>
  <si>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</si>
  <si>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</si>
  <si>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</si>
  <si>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</si>
  <si>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</si>
  <si>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</si>
  <si>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</si>
  <si>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</si>
  <si>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</si>
  <si>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</si>
  <si>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</si>
  <si>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</si>
  <si>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</si>
  <si>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</si>
  <si>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</si>
  <si>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</si>
  <si>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</si>
  <si>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</si>
  <si>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</si>
  <si>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</si>
  <si>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</si>
  <si>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</si>
  <si>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</si>
  <si>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</si>
  <si>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</si>
  <si>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</si>
  <si>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</si>
  <si>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</si>
  <si>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</si>
  <si>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</si>
  <si>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</si>
  <si>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</si>
  <si>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</si>
  <si>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</si>
  <si>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</si>
  <si>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</si>
  <si>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</si>
  <si>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</si>
  <si>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</si>
  <si>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</si>
  <si>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</si>
  <si>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</si>
  <si>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</si>
  <si>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</si>
  <si>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</si>
  <si>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</si>
  <si>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</si>
  <si>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</si>
  <si>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</si>
  <si>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</si>
  <si>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</si>
  <si>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</si>
  <si>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</si>
  <si>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</si>
  <si>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</si>
  <si>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</si>
  <si>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</si>
  <si>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</si>
  <si>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</si>
  <si>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</si>
  <si>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</si>
  <si>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</si>
  <si>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</si>
  <si>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</si>
  <si>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</si>
  <si>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</si>
  <si>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</si>
  <si>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</si>
  <si>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</si>
  <si>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</si>
  <si>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</si>
  <si>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</si>
  <si>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</si>
  <si>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</si>
  <si>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</si>
  <si>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</si>
  <si>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</si>
  <si>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</si>
  <si>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</si>
  <si>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</si>
  <si>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</si>
  <si>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</si>
  <si>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</si>
  <si>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</si>
  <si>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</si>
  <si>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</si>
  <si>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</si>
  <si>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</si>
  <si>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</si>
  <si>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</si>
  <si>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</si>
  <si>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</si>
  <si>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</si>
  <si>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</si>
  <si>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</si>
  <si>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</si>
  <si>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</si>
  <si>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</si>
  <si>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</si>
  <si>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</si>
  <si>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</si>
  <si>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</si>
  <si>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</si>
  <si>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</si>
  <si>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</si>
  <si>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</si>
  <si>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</si>
  <si>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Especficação: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</si>
  <si>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</si>
  <si>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</si>
  <si>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</si>
  <si>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</si>
  <si>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</si>
  <si>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</si>
  <si>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</si>
  <si>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</si>
  <si>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</si>
  <si>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</si>
  <si>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</si>
  <si>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</si>
  <si>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</si>
  <si>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</si>
  <si>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</si>
  <si>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</si>
  <si>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</si>
  <si>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</si>
  <si>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</si>
  <si>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</si>
  <si>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</si>
  <si>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</si>
  <si>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</si>
  <si>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</si>
  <si>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</si>
  <si>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</si>
  <si>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</si>
  <si>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</si>
  <si>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</si>
  <si>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</si>
  <si>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</si>
  <si>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</si>
  <si>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</si>
  <si>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</si>
  <si>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</si>
  <si>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</si>
  <si>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</si>
  <si>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</si>
  <si>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</si>
  <si>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</si>
  <si>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</si>
  <si>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</si>
  <si>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</si>
  <si>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</si>
  <si>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</si>
  <si>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</si>
  <si>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</si>
  <si>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</si>
  <si>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</si>
  <si>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</si>
  <si>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</si>
  <si>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</si>
  <si>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</si>
  <si>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</si>
  <si>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</si>
  <si>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</si>
  <si>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</si>
  <si>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</si>
  <si>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</si>
  <si>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</si>
  <si>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</si>
  <si>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</si>
  <si>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</si>
  <si>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</si>
  <si>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</si>
  <si>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</si>
  <si>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</si>
  <si>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</si>
  <si>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</si>
  <si>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</si>
  <si>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</si>
  <si>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</si>
  <si>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</si>
  <si>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</si>
  <si>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</si>
  <si>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</si>
  <si>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</si>
  <si>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</si>
  <si>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</si>
  <si>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</si>
  <si>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</si>
  <si>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</si>
  <si>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</si>
  <si>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</si>
  <si>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</si>
  <si>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</si>
  <si>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</si>
  <si>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</si>
  <si>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</si>
  <si>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</si>
  <si>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</si>
  <si>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</si>
  <si>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</si>
  <si>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</si>
  <si>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</si>
  <si>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</si>
  <si>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</si>
  <si>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</si>
  <si>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</si>
  <si>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</si>
  <si>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</si>
  <si>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</si>
  <si>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</si>
  <si>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</si>
  <si>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</si>
  <si>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</si>
  <si>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</si>
  <si>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</si>
  <si>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</si>
  <si>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</si>
  <si>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</si>
  <si>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</si>
  <si>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</si>
  <si>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</si>
  <si>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</si>
  <si>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</si>
  <si>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</si>
  <si>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</si>
  <si>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</si>
  <si>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</si>
  <si>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</si>
  <si>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</si>
  <si>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</si>
  <si>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</si>
  <si>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</si>
  <si>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</si>
  <si>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</si>
  <si>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</si>
  <si>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</si>
  <si>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</si>
  <si>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</si>
  <si>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</si>
  <si>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</si>
  <si>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</si>
  <si>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</si>
  <si>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</si>
  <si>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</si>
  <si>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</si>
  <si>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</si>
  <si>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</si>
  <si>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</si>
  <si>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</si>
  <si>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</si>
  <si>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</si>
  <si>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de Cirurgias de Urgência</t>
  </si>
  <si>
    <t>Taxa de Cirurgias de Urgência por ASA</t>
  </si>
  <si>
    <t>ABIRATERONA 250MG COMP</t>
  </si>
  <si>
    <t>GENÉRICO</t>
  </si>
  <si>
    <t>SUN FARMACEUTICA DO BRASIL LTDA</t>
  </si>
  <si>
    <t>ALBUMINA HUMANA 20% 50ML</t>
  </si>
  <si>
    <t xml:space="preserve">ALFAPORACTANTO 80MG/ML-3ML </t>
  </si>
  <si>
    <t>CUROSURF</t>
  </si>
  <si>
    <t>CHIESI FARMACEUTICA LTDA</t>
  </si>
  <si>
    <t>ALTEplase 50MG 1 F/A+DIL. 50ML</t>
  </si>
  <si>
    <t>ACTILYSE</t>
  </si>
  <si>
    <t>BOEHRINGER INGELHEIM DO BRASIL QUIMICA E FARMACEUTICA LTDA. - FILIAL 2</t>
  </si>
  <si>
    <t>AMPICILINA 2G + SULBACTAM 1G AMP. ( IV / IM )</t>
  </si>
  <si>
    <t>FRESENIUS KABI BRASIL LTDA.</t>
  </si>
  <si>
    <t>BACILO DE CALMETTE-GUÉRIN(Imuno BCG) - 40MG</t>
  </si>
  <si>
    <t>URO HIPE</t>
  </si>
  <si>
    <t>UNO HEALTHCARE COMERCIO DE MEDICAMENTOS LTDA.</t>
  </si>
  <si>
    <t>BLEOMICINA 15UI - EV</t>
  </si>
  <si>
    <t>CAPECITABINA  500mg - VO</t>
  </si>
  <si>
    <t>CARBOplatina  450MG/45ML - EV</t>
  </si>
  <si>
    <t>CARBOplatina 150 MG/15Ml - EV</t>
  </si>
  <si>
    <t>CeFAZolina 1G ( IV / IM ) AMP</t>
  </si>
  <si>
    <t>CETOPROFENO 100MG/100ML (PRONTO USO)</t>
  </si>
  <si>
    <t>AXIFLENNID</t>
  </si>
  <si>
    <t>HALEXISTAR INDUSTRIA FARMACEUTICA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</si>
  <si>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</si>
  <si>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</si>
  <si>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</si>
  <si>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>CREME BARREIRA 80G - PROTETOR DA PELE</t>
  </si>
  <si>
    <t>CUTIMED PROTECT</t>
  </si>
  <si>
    <t>HELIANTO FARMACEUTICA LTDA</t>
  </si>
  <si>
    <t>DIETA ENTERAL ESPECIALIZADA COM ALTO TEOR CALÓRICO E PROTEICO 2KCAL/ML + 0,1G DE PROTEINA/ML - 500ML</t>
  </si>
  <si>
    <t>FRESUBIN 2.0</t>
  </si>
  <si>
    <t>DIETA ENTERAL ESPECIALIZADA OLIGOMERICA 1.3KCAL + 0,067G DE PROTEINA/ML - 500ML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</si>
  <si>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</si>
  <si>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</si>
  <si>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</si>
  <si>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</si>
  <si>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DIPIRONA 500MG/ML AMP. 2ML ( IV / IM )</t>
  </si>
  <si>
    <t>SANTISA LABORATORIO FARMACEUTICO S.A</t>
  </si>
  <si>
    <t>ENOXAparina 40MG/0,4ML SER. ( IV / SC )</t>
  </si>
  <si>
    <t>VOLARE</t>
  </si>
  <si>
    <t>ACHE LABORATORIOS FARMACEUTICOS SA</t>
  </si>
  <si>
    <t>FentaNILA 0,05MG/ML AMP. 10ML ( IV / IM )</t>
  </si>
  <si>
    <t>UNIFENTAL</t>
  </si>
  <si>
    <t>HIPOLABOR FARMACEUTICA LTDA</t>
  </si>
  <si>
    <t>FILGRASTIM 300MCG/0,5ml - SC SERINGA (PRONTO PRA USO)</t>
  </si>
  <si>
    <t>FIPRIMA</t>
  </si>
  <si>
    <t>EUROFARMA LABORATORIOS S.A. - FILIAL 16</t>
  </si>
  <si>
    <t>FLUORURACILA  2500MG/50ML – EV</t>
  </si>
  <si>
    <t xml:space="preserve">FAULDFLUOR </t>
  </si>
  <si>
    <t>LIBBS FARMACEUTICA LTDA</t>
  </si>
  <si>
    <t>GENCITABINA 1000MG – EV</t>
  </si>
  <si>
    <t>GCIB</t>
  </si>
  <si>
    <t>CRISTALIA PRODUTOS QUIMICOS FARMACEUTICOS LTDA</t>
  </si>
  <si>
    <t>HEPArina 5.000UI/0,25ML AMP. 0,25ML ( SC )</t>
  </si>
  <si>
    <t>PARINEX</t>
  </si>
  <si>
    <t>IRINOTECANO 100MG/5ML - EV</t>
  </si>
  <si>
    <t>LEUCOVORIN (FOLINATO DE CÁLCIO) 300MG/30ML</t>
  </si>
  <si>
    <t xml:space="preserve">LEUPRORRELINA 22,5MG SC - SERINGA C/ PÓ LIÓFILO E SERINGA C/ DILUENTE </t>
  </si>
  <si>
    <t>ELIGARD</t>
  </si>
  <si>
    <t>ADIUM S.A.</t>
  </si>
  <si>
    <t>MEROPENEM 1G AMP. ( IV )</t>
  </si>
  <si>
    <t>INSTITUTO BIOCHIMICO INDUSTRIA FARMACEUTICA LTDA</t>
  </si>
  <si>
    <t>METILprednisolona 125MG AMP. ( IV / IM )</t>
  </si>
  <si>
    <t>BLAU FARMACEUTICA S.A.</t>
  </si>
  <si>
    <t>MIDAzolam 5MG/ML AMP. 10ML ( IV / IM / RETAL )</t>
  </si>
  <si>
    <t>OCTREOTIDA 0,1MG/ML</t>
  </si>
  <si>
    <t>OCTRIDE 100</t>
  </si>
  <si>
    <t>OMEPRAZOL 40MG FR. ( IV )</t>
  </si>
  <si>
    <t>OXALiplatina 100MG/20ML - EV</t>
  </si>
  <si>
    <t>PACLITAXEL 300MG/50ML - EV</t>
  </si>
  <si>
    <t>EVOTAXEL</t>
  </si>
  <si>
    <t>FARMARIN INDUSTRIA E COMERCIO LTDA</t>
  </si>
  <si>
    <t>PIPERACILINA 4G + TAZOBACTAM 0,5G AMP. ( IV )</t>
  </si>
  <si>
    <t>VIATRIS BRASIL IMPORTADORA E DISTRIBUIDORA DE MEDICAMENTOS LTDA</t>
  </si>
  <si>
    <t>POLIMIXINA B SULFATO 500.000 UI (EV / IM)</t>
  </si>
  <si>
    <t>PROPOfol 10MG/ML 20ML ( IV ) AMP</t>
  </si>
  <si>
    <t>SPIVA MCT-LCT 1%</t>
  </si>
  <si>
    <t>SEVOflurano 250ML FR</t>
  </si>
  <si>
    <t>SOLUÇÃO FISIOLOGICA 0,9% 1000ML</t>
  </si>
  <si>
    <t>SOLUÇÃO FISIOLOGICA 0,9% 100ML</t>
  </si>
  <si>
    <t>SOLUÇÃO FISIOLOGICA 0,9% 250ML</t>
  </si>
  <si>
    <t>SOLUÇÃO FISIOLOGICA 0,9% 500ML</t>
  </si>
  <si>
    <t>LABORATORIOS B BRAUN SA</t>
  </si>
  <si>
    <t>TOPOTECANO 4MG - EV</t>
  </si>
  <si>
    <t>ACCORD FARMACEUTICA LTDA</t>
  </si>
  <si>
    <t>VANCOmicina 500MG AMP. ( IV )</t>
  </si>
  <si>
    <t xml:space="preserve">AGULHA HUBER C/ DISPOSITIVO DE SEGURANÇA E LINHA DE INFUSAO 20Gx15mm P/ PUNÇÃO DE CATETER TOTALMENTE IMPLANTAVEL </t>
  </si>
  <si>
    <t>AGULHA HUBER C/ DISPOSITIVO DE SEGURANÇA E LINHA DE INFUSAO 20Gx20mm P/ PUNÇÃO DE CATETER TOTALMENTE IMPLANTAVEL</t>
  </si>
  <si>
    <t>HTS - TECNOLOGIA EM SAUDE COMERCIO IMPORTACAO E EXPORTACAO LTDA</t>
  </si>
  <si>
    <t>AGULHA PARA ANESTESIA DE PLEXO REVESTIDA DE TEFLON</t>
  </si>
  <si>
    <t>AVENTAL DESCARTAVEL MANGA LONGA 35G - PCT C/ 10 UNIDADES</t>
  </si>
  <si>
    <t>ALTERMED MATERIAL MEDICO HOSPITALAR LTDA</t>
  </si>
  <si>
    <t xml:space="preserve">BOMBA DE INFUSÃO ELASTOMERICA PORTATIL P/ TERAPIA DE INFUSÃO A CURTO E LONGO PRAZO CAPACIDADE P/ 270ML-5mL/hora- DESCARTÁVEL C/ POCHETE </t>
  </si>
  <si>
    <t>SAMTRONIC INDUSTRIA E COMERCIO LTDA</t>
  </si>
  <si>
    <t xml:space="preserve">CAMPO OPERATORIO ESTRELA 45X50 35G C/ FIO RADIOPACO - PCT C/50UN - NÃO ESTÉRIL </t>
  </si>
  <si>
    <t>CREMER</t>
  </si>
  <si>
    <t>CANETA MONOPOLAR P/ ELETROCAUTÉRIO CONTROLE MANUAL - DESCARTÁVEL</t>
  </si>
  <si>
    <t>CAPILAR - DIALISADOR P/ HEMODIALISE DE BAIXO FLUXO - SUPERFICIE EFETIVA (m²) 1.8 - HPS F8</t>
  </si>
  <si>
    <t>CATETER INTRAV. PERIF. Nº 20 C/ DISP. DE SEGURANÇA</t>
  </si>
  <si>
    <t>QR CONSULTING, IMPORTACAO E DISTRIBUICAO DE PRODUTOS MEDICOS LTDA</t>
  </si>
  <si>
    <t>CATETER INTRAV. PERIF. Nº 22 C/ DISP. DE SEGURANÇA</t>
  </si>
  <si>
    <t>CATETER TOTALMENTE IMPLANTÁVEL DE 8.5 FR X 80CM PARA INFUSÃO DE QUIMIOTERÁPICOS</t>
  </si>
  <si>
    <t xml:space="preserve">ELETRODO DESC. ADULTO </t>
  </si>
  <si>
    <t>CARDINAL HEALTH DO BRASIL LTDA</t>
  </si>
  <si>
    <t>Equipo Bomba de Dieta Santronic   -   EQUIPO PARA BOMBA DE INFUSÃO SAMTRONIC ENTERAL S/FILTRO EI 0623 T000</t>
  </si>
  <si>
    <t>Equipo Bomba Fotossensível Santronic  -  EQUIPO PARA BOMBA DE INFUSÃO SAMTRONIC S/FILTRO FOTO EI 0422 0000</t>
  </si>
  <si>
    <t>Equipo Bomba Normal Santronic  -  EQUIPO PARA BOMBA DE INFUSÃO SAMTRONIC S/FILTRO EI 0421 0000</t>
  </si>
  <si>
    <t>EQUIPO MACRO C/ENTRADA DE AR E INJ. LATERAL</t>
  </si>
  <si>
    <t>MEDIX</t>
  </si>
  <si>
    <t>EXTENSOR PACIENTE COM ANTIRREFLUXO UMA VIA</t>
  </si>
  <si>
    <t>1000MEDIC</t>
  </si>
  <si>
    <t>F.MONONYLON 3.0 C/A P1663T</t>
  </si>
  <si>
    <t>JOHNSON</t>
  </si>
  <si>
    <t>F.VICRYL 1 C/A J535H</t>
  </si>
  <si>
    <t>FITA MICROPORE 5,0CMX10MT</t>
  </si>
  <si>
    <t>FRALDA GERIATRICA TAMANHO EG</t>
  </si>
  <si>
    <t>GAZE 10X10 13FIOS C/10UNID ESTERIL</t>
  </si>
  <si>
    <t>GAZE 7,5X7,5 11FIOS C/10UNID. ESTERIL</t>
  </si>
  <si>
    <t>KIT SERINGA  ANGIOGRÁFICA COM 2 SERINGAS DE 200ml + 2 “J” + 1 tubo (duas vias) PARA BOMBA INJETORA SINO POWER D</t>
  </si>
  <si>
    <t xml:space="preserve">LUVA PROCED. MÉDIA NITRÍLICA SEM PÓ </t>
  </si>
  <si>
    <t>LUVA PROCED. PEQUENA NITRÍLICA SEM PÓ</t>
  </si>
  <si>
    <t>LUVA PROCEDIMENTO PEQUENA COM PÓ - CX/100UNID</t>
  </si>
  <si>
    <t>SERINGA DESCARTAVEL 10 ML S/ AGULHA - SLIP S/DISPOSITIVO – C/ GRADUAÇÃO POR ML</t>
  </si>
  <si>
    <t>DESCARPACK</t>
  </si>
  <si>
    <t>SERINGA DESCARTAVEL 20 ML S/ AGULHA - SLIP S/DISPOSITIVO</t>
  </si>
  <si>
    <t>INJEX</t>
  </si>
  <si>
    <t>SERINGA DESCARTAVEL 60 ML S/ AGULHA - BICO LUER LOCK  - S/DISPOSITIVO</t>
  </si>
  <si>
    <t>BD</t>
  </si>
  <si>
    <t>TIRAS P/ HGT</t>
  </si>
  <si>
    <t>MEDLEVENSOHN COMERCIO E REPRESENTACOES DE PRODUTOS HOSPITALARES LTDA</t>
  </si>
  <si>
    <t>04.16.08.003-0</t>
  </si>
  <si>
    <t xml:space="preserve">04.06.02.007-8 </t>
  </si>
  <si>
    <t>04.16.02.024-0</t>
  </si>
  <si>
    <t xml:space="preserve">04.16.02.022-4 </t>
  </si>
  <si>
    <t>04.16.05.007-7</t>
  </si>
  <si>
    <t>04.16.12.002-4</t>
  </si>
  <si>
    <t xml:space="preserve">04.16.01.011-3 </t>
  </si>
  <si>
    <t>04.16.04.020-9</t>
  </si>
  <si>
    <t xml:space="preserve">04.16.05.002-6 </t>
  </si>
  <si>
    <t xml:space="preserve">04.03.01.004-7 </t>
  </si>
  <si>
    <t xml:space="preserve">04.08.02.026-1 </t>
  </si>
  <si>
    <t xml:space="preserve">04.09.01.010-3 </t>
  </si>
  <si>
    <t xml:space="preserve">04.12.04.011-5 </t>
  </si>
  <si>
    <t>04.16.01.007-5</t>
  </si>
  <si>
    <t xml:space="preserve">04.16.01.013-0 </t>
  </si>
  <si>
    <t>04.16.01.021-0</t>
  </si>
  <si>
    <t xml:space="preserve">04.16.02.002-0 </t>
  </si>
  <si>
    <t xml:space="preserve">04.16.02.017-8 </t>
  </si>
  <si>
    <t xml:space="preserve">04.16.04.011-0 </t>
  </si>
  <si>
    <t>04.16.06.006-4</t>
  </si>
  <si>
    <t xml:space="preserve">04.16.06.008-0 </t>
  </si>
  <si>
    <t xml:space="preserve">04.16.06.012-9 </t>
  </si>
  <si>
    <t xml:space="preserve">04.16.08.008-1 </t>
  </si>
  <si>
    <t xml:space="preserve">04.16.12.005-9 </t>
  </si>
  <si>
    <t>04.18.01.004-8</t>
  </si>
  <si>
    <t xml:space="preserve">4.16.04.001-2 </t>
  </si>
  <si>
    <t xml:space="preserve"> EXCISÃO E SUTURA DE LESÃO NA PELE COM PLASTICA EM Z OU ROTAÇÃO DE RETALHO EM ONCOLOGIA</t>
  </si>
  <si>
    <t>IMPLANTAÇÃO DE CATETER DE LONGA PERMANÊNCIA SEMI OU TOTALMENTE IMPLANTAVEL (PROCEDIMENTO PRINCIPAL)</t>
  </si>
  <si>
    <t>LINFADENECTOMIA SELETIVA GUIADA (LINFONODO SENTINELA) EM ONCOLOGIA</t>
  </si>
  <si>
    <t>LINFADENECTOMIA RETROPERITONIAL EM ONCOLOGIA</t>
  </si>
  <si>
    <t>RETOSSIGMOIDECTOMIA ABDOMINAL EM ONCOLOGIA</t>
  </si>
  <si>
    <t>MASTECTOMIA RADICAL COM LINFADENECTOMIA AXILAR EM ONCOLOGIA</t>
  </si>
  <si>
    <t>ORQUIECTOMIA UNILATERAL EM ONCOLOGIA</t>
  </si>
  <si>
    <t>LAPAROTOMIA EXPLORADORA COM RESSECÇÃO COMPLETA OU INCOMPLETA DO TUMOR EM ONCOLOGIA</t>
  </si>
  <si>
    <t>COLECTOMIA PARCIAL (HEMICOLECTOMIA) EM ONCOLOGIA</t>
  </si>
  <si>
    <t>CRANIOTOMIA PARA RETIRADA DE CISTO / ABSCESSO / GRANULOMA ENCEFALICO</t>
  </si>
  <si>
    <t>REIMPLANTE DO TERÇO DISTAL DO ANTEBRAÇO ATÉ OS METACARPIANOS</t>
  </si>
  <si>
    <t>COLOCAÇÃO PERCUTÂNEA DE CATETER PIELO-URETERO-VESICAL UNILATERAL</t>
  </si>
  <si>
    <t>RETIRADA DE CORPO ESTRANHO DA PAREDE TORÁCICA</t>
  </si>
  <si>
    <t>NEFRECTOMIA TOTAL EM ONCOLOGIA</t>
  </si>
  <si>
    <t>PROSTATOVESICULECTOMIA RADICAL EM ONCOLOGIA</t>
  </si>
  <si>
    <t>NEFRECTOMIA PARCIAL EM ONCOLOGIA</t>
  </si>
  <si>
    <t>LINFADENECTOMIA PELVICA EM ONCOLOGIA</t>
  </si>
  <si>
    <t>LINFADENECTOMIA CERVICAL SUPRAOMO-HIOIDEA UNILATERAL EM ONCOLOGIA</t>
  </si>
  <si>
    <t>PANCREATECTOMIA PARCIAL EM ONCOLOGIA</t>
  </si>
  <si>
    <t>HISTERECTOMIA TOTAL AMPLIADA EM ONCOLOGIA</t>
  </si>
  <si>
    <t>TRAQUELECTOMIA RADICAL EM ONCOLOGIA</t>
  </si>
  <si>
    <t>LAPAROTOMIA PARA AVALIAÇÃO DE TUMOR DE OVÁRIO EM ONCOLOGIA</t>
  </si>
  <si>
    <t>RECONSTRUÇÃO COM RETALHO MIOCUTÂNEO (QUALQUER PARTE) EM ONCOLOGIA</t>
  </si>
  <si>
    <t>SEGMENTECTOMIA/QUADRANTECTOMIA/SETORECTOMIA DE MAMA EM ONCOLOGIA</t>
  </si>
  <si>
    <t>IMPLANTE DE CATETER DE LONGA PERMANÊNCIA P/ HEMODIALISE</t>
  </si>
  <si>
    <t>ANASTOMOSE BILEO-DIGESTIVA EM ONCOLOGIA</t>
  </si>
  <si>
    <t>PARTO NORMAL</t>
  </si>
  <si>
    <t>OPERACAO CESARIANA</t>
  </si>
  <si>
    <t>LIBERAÇÃO DE ADERÊNCIAS INTESTINAIS</t>
  </si>
  <si>
    <t>TRATAMENTO CIRÚRGICO DE PERITONITE</t>
  </si>
  <si>
    <t>APENDICECTOMIA</t>
  </si>
  <si>
    <t>TRATAMENTO CIRÚRGICO DE FRATURA DIAFISARIA ÚNICA DO RÁDIO / DA ULNA</t>
  </si>
  <si>
    <t>TRATAMENTO CIRÚRGICO DE FRATURA / LESÃO FISARIA DAS FALANGES DA MÃO (COM FIXAÇÃO)</t>
  </si>
  <si>
    <t>EXCISÃO E SUTURA DE LESAO NA PELE C/ PLÁSTICA EM Z OU ROTAÇÃO DE RETALHO</t>
  </si>
  <si>
    <t>COLECISTECTOMIA  VIDEOLAPAROSCÓPICA</t>
  </si>
  <si>
    <t>TRATAMENTO CIRURGICO DE FRATURA / LESAO FISARIA PROXIMAL (COLO) DO FEMUR (SINTESE)</t>
  </si>
  <si>
    <t>TORACOCENTESE/DRENAGEM DE PLEURA</t>
  </si>
  <si>
    <t>CISTOSCOPIA E/OU URETEROSCOPIA E/OU URETROSCOPIA</t>
  </si>
  <si>
    <t>ENTERECTOMIA</t>
  </si>
  <si>
    <t>OPERACAO CESARIANA C/ LAQUEADURA TUBARIA</t>
  </si>
  <si>
    <t>DEBRIDAMENTO DE ULCERA  / DE TECIDOS DESVITALIZADOS</t>
  </si>
  <si>
    <t>RETIRADA DE CATETER DE LONGA PERMANÊNCIA SEMI OU TOTALMENTE IMPLANTÁVEL</t>
  </si>
  <si>
    <t>JEJUNOSTOMIA / ILEOSTOMIA</t>
  </si>
  <si>
    <t>TRATAMENTO CIRÚRGICO DE VARIZES (UNILATERAL)</t>
  </si>
  <si>
    <t>TRATAMENTO CIRURGICO DE LUXACAO / FRATURA-LUXACAO ACROMIO-CLAVICULAR</t>
  </si>
  <si>
    <t>TRATAMENTO CIRÚRGICO DE FRATURA DO CALCÂNEO</t>
  </si>
  <si>
    <t>RESSECCAO ENDOSCOPICA DE LESÃO VESICAL</t>
  </si>
  <si>
    <t>TORACOSTOMIA COM DRENAGEM PLEURAL FECHADA</t>
  </si>
  <si>
    <t>COLECTOMIA PARCIAL (HEMICOLECTOMIA)</t>
  </si>
  <si>
    <t>COLECISTECTOMIA</t>
  </si>
  <si>
    <t>LAPAROTOMIA EXPLORADORA</t>
  </si>
  <si>
    <t>TRATAMENTO CIRÚRGICO DE FRATURA / LESÃO FISARIA DA EXTREMIDADE PROXIMAL DO UMERO</t>
  </si>
  <si>
    <t>TRATAMENTO CIRÚRGICO DE FRATURA DA EXTREMIDADE / METÁFISE DISTAL DOS OSSOS DO ANTEBRAÇO</t>
  </si>
  <si>
    <t>TRATAMENTO CIRÚRGICO DE FRATURA DO TORNOZELO UNIMALEOLAR</t>
  </si>
  <si>
    <t>SETORECTOMIA / QUADRANTECTOMIA</t>
  </si>
  <si>
    <t>BRONCOSCOPIA (BRONCOFIBROSCOPIA)</t>
  </si>
  <si>
    <t>ENTEROANASTOMOSE (QUALQUER SEGMENTO)</t>
  </si>
  <si>
    <t>HERNIOPLASTIA INCISIONAL</t>
  </si>
  <si>
    <t>HERNIOPLASTIA INGUINAL / CRURAL (UNILATERAL)</t>
  </si>
  <si>
    <t>TRATAMENTO CIRÚRGICO DE FRATURA / LESÃO FISARIA DO CÔNDILO / TRÓCLEA/APOFISE CORONÓIDE DO ULNA / CABEÇA DO RÁDIO</t>
  </si>
  <si>
    <t>TRATAMENTO CIRÚRGICO DE FRATURA DA DIÁFISE DA TÍBIA</t>
  </si>
  <si>
    <t>TRATAMENTO CIRÚRGICO DE FRATURA DA PATELA POR FIXAÇÃO INTERNA</t>
  </si>
  <si>
    <t>TRATAMENTO CIRÚRGICO DE FRATURA DO PLANALTO TIBIAL</t>
  </si>
  <si>
    <t>TRATAMENTO CIRÚRGICO DE FRATURA TRANSTROCANTERIANA</t>
  </si>
  <si>
    <t>TENOMIORRAFIA</t>
  </si>
  <si>
    <t>TRATAMENTO CIRÚRGICO DE LUXAÇÃO / FRATURA-LUXAÇÃO METATARSO INTER-FALANGEANA</t>
  </si>
  <si>
    <t>OPERACAO CESARIANA EM GESTACAO DE ALTO RISCO</t>
  </si>
  <si>
    <t>CURETAGEM POS-ABORTAMENTO / PUERPERAL</t>
  </si>
  <si>
    <t>BIOPSIA DE LESAO DE PARTES MOLES (POR AGULHA / CEU ABERTO)</t>
  </si>
  <si>
    <t>FISTULOGRAFIA</t>
  </si>
  <si>
    <t>RETIRADA DE CORPO ESTRANHO DO ESTOMAGO / DUODENO</t>
  </si>
  <si>
    <t>TRAQUEOSTOMIA</t>
  </si>
  <si>
    <t>LINFADENECTOMIA RETROPERITONIAL</t>
  </si>
  <si>
    <t>RETIRADA DE CORPO ESTRANHO DO TUBO DIGESTIVO POR ENDOSCOPIA</t>
  </si>
  <si>
    <t>COLOSTOMIA</t>
  </si>
  <si>
    <t>HERNIOPLASTIA UMBILICAL</t>
  </si>
  <si>
    <t>TRATAMENTO CIRÚRGICO DE FRATURA DA CLAVÍCULA</t>
  </si>
  <si>
    <t>TRATAMENTO CIRÚRGICO DE FRATURA / LESÃO FISARIA DOS METACARPIANOS</t>
  </si>
  <si>
    <t>ARTROPLASTIA PARCIAL DE QUADRIL</t>
  </si>
  <si>
    <t>REDUCAO INCRUENTA DE FRATURA DIAFISARIA / LESAO FISARIA DISTAL DA TIBIA C/ OU S/ FRATURA DA FIBULA</t>
  </si>
  <si>
    <t>TRATAMENTO CIRÚRGICO DE FRATURA BIMALEOLAR / TRIMALEOLAR / DA FRATURA-LUXAÇÃO DO TORNOZELO</t>
  </si>
  <si>
    <t>TRATAMENTO CIRÚRGICO DE FRATURA DO PILÃO TIBIAL</t>
  </si>
  <si>
    <t>AMPUTAÇÃO / DESARTICULAÇÃO DE DEDO</t>
  </si>
  <si>
    <t>RETIRADA DE PLACA E/OU PARAFUSOS</t>
  </si>
  <si>
    <t>TENOPLASTIA OU ENXERTO DE TENDÃO UNICO</t>
  </si>
  <si>
    <t>TENORRAFIA ÚNICA EM TÚNEL OSTEO-FIBROSO</t>
  </si>
  <si>
    <t>INSTALAÇÃO ENDOSCÓPICA DE CATETER DUPLO J</t>
  </si>
  <si>
    <t>LAQUEADURA TUBARIA</t>
  </si>
  <si>
    <t>DEBRIDAMENTO DE ULCERA / NECROSE</t>
  </si>
  <si>
    <t>CATETER VENOSO CENTRAL DUPLO LUMEN</t>
  </si>
  <si>
    <t>TRATAMENTO CIRÚRGICO DE RETARDO DE CONSOLIDAÇÃO DA PSEUDARTROSE DE CLAVICULA / ESCAPULA</t>
  </si>
  <si>
    <t>BIOPSIA DE OSSO / CARTILAGEM DE MEMBRO INFERIOR (POR AGULHA / CEU ABERTO)</t>
  </si>
  <si>
    <t>LAPAROSCOPIA</t>
  </si>
  <si>
    <t>VIDEOLAPAROSCOPIA</t>
  </si>
  <si>
    <t>LARINGOSCOPIA</t>
  </si>
  <si>
    <t>INSTALAÇÃO DE CATETER DUPLO LUMEN POR PUNÇÃO</t>
  </si>
  <si>
    <t>TRATAMENTO CIRURGICO DE ABSCESSO INTRACRANIANO</t>
  </si>
  <si>
    <t>TRATAMENTO CIRURGICO DE SINDROME COMPRESSIVA EM TUNEL OSTEO-FIBROSO AO NIVEL DO CARPO</t>
  </si>
  <si>
    <t>AMIGDALECTOMIA</t>
  </si>
  <si>
    <t>SEPTOPLASTIA PARA CORREÇÃO DE DESVIO</t>
  </si>
  <si>
    <t>SINUSOTOMIA TRANSMAXILAR</t>
  </si>
  <si>
    <t>EXCISÃO E SUTURA DE LESÃO NA BOCA</t>
  </si>
  <si>
    <t>TRATAMENTO CIRÚRGICO DE OSTEOMIELITE DE OSSOS DA FACE</t>
  </si>
  <si>
    <t>REDUÇÃO CIRÚRGICA DE FRATURA DOS OSSOS PRÓPRIOS DO NARIZ</t>
  </si>
  <si>
    <t>RETIRADA DE MATERIAL DE SÍNTESE ÓSSEA / DENTÁRIA</t>
  </si>
  <si>
    <t>RETIRADA DE CORPO ESTRANHO DA CORNEA</t>
  </si>
  <si>
    <t>TRATAMENTO CIRÚRGICO DE LESÕES VASCULARES TRAUMÁTICAS DE MEMBRO INFERIOR UNILATERAL</t>
  </si>
  <si>
    <t>GASTROENTEROANASTOMOSE</t>
  </si>
  <si>
    <t>GASTRORRAFIA</t>
  </si>
  <si>
    <t>GASTROSTOMIA</t>
  </si>
  <si>
    <t>TRATAMENTO CIRÚRGICO DE REFLUXO GASTROESOFÁGICO</t>
  </si>
  <si>
    <t>DRENAGEM DE ABSCESSO ANU-RETAL</t>
  </si>
  <si>
    <t>ENTEROTOMIA E/OU ENTERORRAFIA C/ SUTURA / RESSECÇÃO (QUALQUER SEGMENTO)</t>
  </si>
  <si>
    <t>EXCISÃO DE LESÃO INTESTINAL / MESENTÉRICA LOCALIZADA</t>
  </si>
  <si>
    <t>HEMORROIDECTOMIA</t>
  </si>
  <si>
    <t>LIGADURA ELÁSTICA DE HEMORROIDAS (SESSÃO)</t>
  </si>
  <si>
    <t>PROCTOPLASTIA E PROCTORRAFIA POR VIA PERINEAL</t>
  </si>
  <si>
    <t>ESPLENECTOMIA</t>
  </si>
  <si>
    <t>DRENAGEM DE ABSCESSO PÉLVICO</t>
  </si>
  <si>
    <t>HERNIOPLASTIA EPIGASTRICA</t>
  </si>
  <si>
    <t>HERNIOPLASTIA RECIDIVANTE</t>
  </si>
  <si>
    <t>RESSUTURA DE PAREDE ABDOMINAL (POR DEISCENCIA TOTAL / EVISCERAÇÃO)</t>
  </si>
  <si>
    <t>REPARO DE ROTURA DO MANGUITO ROTADOR (INCLUI PROCEDIMENTOS DESCOMPRESSIVOS)</t>
  </si>
  <si>
    <t>REDUÇAO INCRUENTA DE FRATURA / LESÃO FISARIA DO EXTREMO PROXIMAL DO ÚMERO</t>
  </si>
  <si>
    <t>REDUÇÃO INCRUENTA DE FRATURA / LESÃO FISARIA NO PUNHO</t>
  </si>
  <si>
    <t>REDUÇÃO INCRUENTA DE LUXAÇÃO / FRATURA-LUXAÇÃO DO COTOVELO</t>
  </si>
  <si>
    <t>TRATAMENTO CIRÚGICO DE FRATURA DA DIÁFISE DO ÚMERO</t>
  </si>
  <si>
    <t>TRATAMENTO CIRÚRGICO DE FRATURA DIAFISARIA DE AMBOS OS OSSOS DO ANTEBRAÇO (C/ SINTESE)</t>
  </si>
  <si>
    <t>TRATAMENTO CIRÚRGICO DE FRATURAS DOS OSSOS DO CARPO</t>
  </si>
  <si>
    <t>TRATAMENTO CIRÚRGICO DE LUXAÇÃO / FRATURA-LUXAÇÃO METACARPO-FALANGIANA</t>
  </si>
  <si>
    <t>TRATAMENTO CIRÚRGICO DE LUXAÇÃO OU FRATURA-LUXAÇÃO DO COTOVELO</t>
  </si>
  <si>
    <t>TRATAMENTO CIRÚRGICO DE FRATURA / LUXAÇÃO / FRATURA- LUXAÇÃO / DISJUNÇÃO DO ANEL PÉLVICO ANTERO-POSTERIOR</t>
  </si>
  <si>
    <t>AMPUTACAO / DESARTICULACAO DE MEMBROS INFERIORES</t>
  </si>
  <si>
    <t>REDUCAO INCRUENTA DE FRATURA / LUXACAO / FRATURA- LUXACAO DO TORNOZELO</t>
  </si>
  <si>
    <t>TRATAMENTO CIRÚRGICO DE FRATURA DA DIÁFISE DO FÊMUR</t>
  </si>
  <si>
    <t>CISTOLITOTOMIA E/OU RETIRADA DE CORPO ESTRANHO DA BEXIGA</t>
  </si>
  <si>
    <t>DRENAGEM DE ABSCESSO DA BOLSA ESCROTAL</t>
  </si>
  <si>
    <t>ORQUIECTOMIA SUBCAPSULAR BILATERAL</t>
  </si>
  <si>
    <t>CATETER DE ACESSO VENOSO CENTRAL POR INSERÇÃO PERIFÉRICA (PICC)</t>
  </si>
  <si>
    <t>ANESTESIA GERAL</t>
  </si>
  <si>
    <t xml:space="preserve">03.10.01.003-9 </t>
  </si>
  <si>
    <t xml:space="preserve">04.11.01.003-4 </t>
  </si>
  <si>
    <t>04.07.04.018-8</t>
  </si>
  <si>
    <t xml:space="preserve">04.07.04.025-0 </t>
  </si>
  <si>
    <t>04.07.02.003-9</t>
  </si>
  <si>
    <t>04.08.02.043-1</t>
  </si>
  <si>
    <t xml:space="preserve">04.08.02.034-2 </t>
  </si>
  <si>
    <t xml:space="preserve">04.01.02.005-3 </t>
  </si>
  <si>
    <t>04.07.03.003-4</t>
  </si>
  <si>
    <t>04.08.05.048-9</t>
  </si>
  <si>
    <t xml:space="preserve">04.12.05.017-0 </t>
  </si>
  <si>
    <t xml:space="preserve">02.09.02.001-6 </t>
  </si>
  <si>
    <t>04.07.02.017-9</t>
  </si>
  <si>
    <t>04.11.01.004-2</t>
  </si>
  <si>
    <t xml:space="preserve">04.15.04.003-5 </t>
  </si>
  <si>
    <t>04.06.02.062-0</t>
  </si>
  <si>
    <t xml:space="preserve">04.07.02.030-6 </t>
  </si>
  <si>
    <t xml:space="preserve">04.06.02.057-4 </t>
  </si>
  <si>
    <t xml:space="preserve">04.08.01.018-5 </t>
  </si>
  <si>
    <t>04.08.05.053-5</t>
  </si>
  <si>
    <t xml:space="preserve">04.09.01.038-3 </t>
  </si>
  <si>
    <t xml:space="preserve">04.12.04.016-6 </t>
  </si>
  <si>
    <t>04.07.02.006-3</t>
  </si>
  <si>
    <t xml:space="preserve">04.07.03.002-6 </t>
  </si>
  <si>
    <t xml:space="preserve">04.07.04.016-1 </t>
  </si>
  <si>
    <t>04.08.02.033-4</t>
  </si>
  <si>
    <t>04.08.02.040-7</t>
  </si>
  <si>
    <t xml:space="preserve">04.08.05.057-8 </t>
  </si>
  <si>
    <t>04.10.01.011-1</t>
  </si>
  <si>
    <t xml:space="preserve">02.09.04.001-7 </t>
  </si>
  <si>
    <t xml:space="preserve">04.07.02.018-7 </t>
  </si>
  <si>
    <t>04.07.04.008-0</t>
  </si>
  <si>
    <t xml:space="preserve">04.07.04.010-2 </t>
  </si>
  <si>
    <t xml:space="preserve">04.08.02.036-9 </t>
  </si>
  <si>
    <t>04.08.05.050-0</t>
  </si>
  <si>
    <t xml:space="preserve">04.08.05.052-7 </t>
  </si>
  <si>
    <t xml:space="preserve">04.08.05.055-1 </t>
  </si>
  <si>
    <t>04.08.05.063-2</t>
  </si>
  <si>
    <t>04.08.06.045-0</t>
  </si>
  <si>
    <t xml:space="preserve">04.08.06.063-8 </t>
  </si>
  <si>
    <t xml:space="preserve">04.11.01.002-6 </t>
  </si>
  <si>
    <t xml:space="preserve">04.11.02.001-3 </t>
  </si>
  <si>
    <t xml:space="preserve">02.01.01.026-7 </t>
  </si>
  <si>
    <t>02.04.05.005-7</t>
  </si>
  <si>
    <t>03.03.07.005-6</t>
  </si>
  <si>
    <t xml:space="preserve">04.04.01.037-7 </t>
  </si>
  <si>
    <t>04.06.02.028-0</t>
  </si>
  <si>
    <t>04.07.01.024-6</t>
  </si>
  <si>
    <t xml:space="preserve">04.07.02.010-1 </t>
  </si>
  <si>
    <t xml:space="preserve">04.07.04.012-9 </t>
  </si>
  <si>
    <t xml:space="preserve">04.08.01.015-0 </t>
  </si>
  <si>
    <t xml:space="preserve">04.08.02.037-7 </t>
  </si>
  <si>
    <t>04.08.04.005-0</t>
  </si>
  <si>
    <t xml:space="preserve">04.08.05.022-5 </t>
  </si>
  <si>
    <t>04.08.05.049-7</t>
  </si>
  <si>
    <t xml:space="preserve">04.08.05.054-3 </t>
  </si>
  <si>
    <t xml:space="preserve">04.08.06.004-2 </t>
  </si>
  <si>
    <t>04.08.06.037-9</t>
  </si>
  <si>
    <t xml:space="preserve">04.08.06.047-6 </t>
  </si>
  <si>
    <t xml:space="preserve">04.08.06.048-4 </t>
  </si>
  <si>
    <t xml:space="preserve">04.09.01.017-0 </t>
  </si>
  <si>
    <t xml:space="preserve">04.09.06.018-6 </t>
  </si>
  <si>
    <t>04.15.04.004-3</t>
  </si>
  <si>
    <t>07.02.04.015-0</t>
  </si>
  <si>
    <t xml:space="preserve">	04.08.01.022-</t>
  </si>
  <si>
    <t xml:space="preserve">02.01.01.032-1 </t>
  </si>
  <si>
    <t>02.09.01.004-5</t>
  </si>
  <si>
    <t>02.09.01.006-1</t>
  </si>
  <si>
    <t xml:space="preserve">02.09.04.002-5 </t>
  </si>
  <si>
    <t>03.09.06.001-0</t>
  </si>
  <si>
    <t xml:space="preserve">04.03.01.019-5 </t>
  </si>
  <si>
    <t xml:space="preserve">04.03.02.012-3 </t>
  </si>
  <si>
    <t>04.04.01.002-4</t>
  </si>
  <si>
    <t>04.04.01.048-2</t>
  </si>
  <si>
    <t>04.04.01.051-2</t>
  </si>
  <si>
    <t xml:space="preserve">04.04.02.009-7 </t>
  </si>
  <si>
    <t xml:space="preserve">04.04.02.038-0 </t>
  </si>
  <si>
    <t xml:space="preserve">04.04.02.054-2 </t>
  </si>
  <si>
    <t xml:space="preserve">04.04.02.062-3 </t>
  </si>
  <si>
    <t xml:space="preserve">04.05.05.025-9 </t>
  </si>
  <si>
    <t xml:space="preserve">04.06.02.051-5 </t>
  </si>
  <si>
    <t xml:space="preserve">04.07.01.016-5 </t>
  </si>
  <si>
    <t xml:space="preserve">04.07.01.019-0 </t>
  </si>
  <si>
    <t>04.07.01.021-1</t>
  </si>
  <si>
    <t xml:space="preserve">04.07.01.029-7 </t>
  </si>
  <si>
    <t>04.07.02.013-6</t>
  </si>
  <si>
    <t>04.07.02.020-9</t>
  </si>
  <si>
    <t xml:space="preserve">04.07.02.023-3 </t>
  </si>
  <si>
    <t xml:space="preserve">04.07.02.028-4 </t>
  </si>
  <si>
    <t>04.07.02.031-4</t>
  </si>
  <si>
    <t xml:space="preserve">04.07.02.035-7 </t>
  </si>
  <si>
    <t xml:space="preserve">04.07.03.012-3 </t>
  </si>
  <si>
    <t xml:space="preserve">04.07.04.001-3 </t>
  </si>
  <si>
    <t>04.07.04.006-4</t>
  </si>
  <si>
    <t xml:space="preserve">04.07.04.011-0 </t>
  </si>
  <si>
    <t>04.07.04.024-2</t>
  </si>
  <si>
    <t xml:space="preserve">04.08.01.014-2 </t>
  </si>
  <si>
    <t>04.08.02.016-4</t>
  </si>
  <si>
    <t>04.08.02.017-2</t>
  </si>
  <si>
    <t>04.08.02.022-9</t>
  </si>
  <si>
    <t xml:space="preserve">04.08.02.039-3 </t>
  </si>
  <si>
    <t>04.08.02.042-3</t>
  </si>
  <si>
    <t xml:space="preserve">04.08.02.046-6 </t>
  </si>
  <si>
    <t>04.08.02.053-9</t>
  </si>
  <si>
    <t>04.08.02.054-7</t>
  </si>
  <si>
    <t>04.08.04.026-2</t>
  </si>
  <si>
    <t xml:space="preserve">04.08.05.001-2 </t>
  </si>
  <si>
    <t xml:space="preserve">04.08.05.021-7 </t>
  </si>
  <si>
    <t>04.08.05.051-9</t>
  </si>
  <si>
    <t>04.09.01.006-5</t>
  </si>
  <si>
    <t>04.09.04.001-0</t>
  </si>
  <si>
    <t>04.09.04.014-2</t>
  </si>
  <si>
    <t xml:space="preserve">07.02.04.011-8 </t>
  </si>
  <si>
    <t>04.17.01.004-4</t>
  </si>
  <si>
    <t>reagendamentos</t>
  </si>
  <si>
    <t>ASSISTENTE ADMINISTRATIVO(FIN</t>
  </si>
  <si>
    <t>AUXILIAR ADMINISTRATIVO (AGEND)</t>
  </si>
  <si>
    <t>AUXILIAR ADMINISTRATIVO(FAT)</t>
  </si>
  <si>
    <t>AUXILIAR. ADMINISTRATIVO (ONC)</t>
  </si>
  <si>
    <t>GERENTE ENFERMAGEM</t>
  </si>
  <si>
    <t>GERENTE DE SUPRIMENTOS</t>
  </si>
  <si>
    <t>GERENTE ASSISTENCIAL</t>
  </si>
  <si>
    <t>BIOMÉDICO</t>
  </si>
  <si>
    <t>ASSESSOR DE DIRETORIA</t>
  </si>
  <si>
    <t>SUPERVISOR MANUTENÇÃO</t>
  </si>
  <si>
    <t>OFICIAL DE MANUTENÇÃO PREDIAL</t>
  </si>
  <si>
    <t>ANALISTA TECNOLOGIA INFORMAÇÃO</t>
  </si>
  <si>
    <t>ABRIL</t>
  </si>
  <si>
    <t>SÃO MIGUEL DO OESTE/SC, 15 DE MAIO DE 2026</t>
  </si>
  <si>
    <t>=Capa!D5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</si>
</sst>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  <numFmt numFmtId="167" formatCode="########0"/>
  </numFmts>
  <fonts count="5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sz val="9"/>
      <color rgb="FF000000"/>
      <name val="Segoe UI"/>
      <family val="1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1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39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0" fontId="16" fillId="0" borderId="0"/>
    <xf numFmtId="9" fontId="39" fillId="0" borderId="0" applyFont="0" applyFill="0" applyBorder="0" applyAlignment="0" applyProtection="0"/>
    <xf numFmtId="0" fontId="16" fillId="15" borderId="47" applyNumberFormat="0" applyFont="0" applyAlignment="0" applyProtection="0"/>
    <xf numFmtId="43" fontId="16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48" applyNumberFormat="0" applyFill="0" applyAlignment="0" applyProtection="0"/>
  </cellStyleXfs>
  <cellXfs count="644">
    <xf numFmtId="0" fontId="0" fillId="0" borderId="0" xfId="0"/>
    <xf numFmtId="0" fontId="0" fillId="0" borderId="0" xfId="0" applyProtection="1">
      <protection locked="0"/>
    </xf>
    <xf numFmtId="0" fontId="0" fillId="0" borderId="3" xfId="0" applyBorder="1"/>
    <xf numFmtId="0" fontId="5" fillId="0" borderId="0" xfId="3" applyFont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0" fontId="3" fillId="4" borderId="4" xfId="3" applyFont="1" applyFill="1" applyBorder="1" applyAlignment="1" applyProtection="1">
      <alignment vertical="center"/>
      <protection locked="0"/>
    </xf>
    <xf numFmtId="0" fontId="3" fillId="4" borderId="4" xfId="3" applyFont="1" applyFill="1" applyBorder="1" applyAlignment="1" applyProtection="1">
      <alignment horizontal="center" vertical="center"/>
      <protection locked="0"/>
    </xf>
    <xf numFmtId="0" fontId="5" fillId="0" borderId="4" xfId="3" applyFont="1" applyBorder="1" applyAlignment="1" applyProtection="1">
      <alignment horizontal="left" vertical="center"/>
      <protection locked="0"/>
    </xf>
    <xf numFmtId="165" fontId="5" fillId="0" borderId="4" xfId="1" applyNumberFormat="1" applyFont="1" applyBorder="1" applyAlignment="1" applyProtection="1">
      <alignment vertical="center"/>
      <protection locked="0"/>
    </xf>
    <xf numFmtId="0" fontId="3" fillId="2" borderId="4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</xf>
    <xf numFmtId="0" fontId="5" fillId="0" borderId="4" xfId="3" applyFont="1" applyBorder="1" applyAlignment="1" applyProtection="1">
      <alignment vertical="center"/>
      <protection locked="0"/>
    </xf>
    <xf numFmtId="0" fontId="3" fillId="5" borderId="4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vertical="center"/>
    </xf>
    <xf numFmtId="0" fontId="5" fillId="0" borderId="3" xfId="3" applyFont="1" applyBorder="1" applyAlignment="1" applyProtection="1">
      <alignment horizontal="left" vertical="center"/>
      <protection locked="0"/>
    </xf>
    <xf numFmtId="165" fontId="5" fillId="0" borderId="0" xfId="1" applyNumberFormat="1" applyFont="1" applyBorder="1" applyAlignment="1" applyProtection="1">
      <alignment vertical="center"/>
      <protection locked="0"/>
    </xf>
    <xf numFmtId="165" fontId="5" fillId="0" borderId="4" xfId="1" applyNumberFormat="1" applyFont="1" applyBorder="1" applyAlignment="1" applyProtection="1">
      <alignment horizontal="right" vertical="center"/>
      <protection locked="0"/>
    </xf>
    <xf numFmtId="165" fontId="3" fillId="4" borderId="4" xfId="1" applyNumberFormat="1" applyFont="1" applyFill="1" applyBorder="1" applyAlignment="1" applyProtection="1">
      <alignment vertical="center"/>
    </xf>
    <xf numFmtId="0" fontId="3" fillId="5" borderId="5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horizontal="center" vertical="center"/>
    </xf>
    <xf numFmtId="0" fontId="5" fillId="0" borderId="5" xfId="3" applyFont="1" applyBorder="1" applyAlignment="1" applyProtection="1">
      <alignment vertical="center"/>
      <protection locked="0"/>
    </xf>
    <xf numFmtId="0" fontId="5" fillId="0" borderId="0" xfId="3" applyFont="1" applyAlignment="1" applyProtection="1">
      <alignment vertical="center"/>
      <protection locked="0"/>
    </xf>
    <xf numFmtId="0" fontId="3" fillId="6" borderId="6" xfId="3" applyFont="1" applyFill="1" applyBorder="1" applyAlignment="1" applyProtection="1">
      <alignment vertical="center"/>
      <protection locked="0"/>
    </xf>
    <xf numFmtId="0" fontId="5" fillId="6" borderId="7" xfId="3" applyFont="1" applyFill="1" applyBorder="1" applyAlignment="1" applyProtection="1">
      <alignment vertical="center"/>
      <protection locked="0"/>
    </xf>
    <xf numFmtId="0" fontId="3" fillId="4" borderId="8" xfId="3" applyFont="1" applyFill="1" applyBorder="1" applyAlignment="1" applyProtection="1">
      <alignment vertical="center"/>
      <protection locked="0"/>
    </xf>
    <xf numFmtId="164" fontId="3" fillId="4" borderId="9" xfId="1" applyNumberFormat="1" applyFont="1" applyFill="1" applyBorder="1" applyAlignment="1" applyProtection="1">
      <alignment horizontal="center" vertical="center"/>
      <protection locked="0"/>
    </xf>
    <xf numFmtId="0" fontId="5" fillId="2" borderId="5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  <protection locked="0"/>
    </xf>
    <xf numFmtId="0" fontId="3" fillId="4" borderId="5" xfId="3" applyFont="1" applyFill="1" applyBorder="1" applyAlignment="1" applyProtection="1">
      <alignment vertical="center"/>
      <protection locked="0"/>
    </xf>
    <xf numFmtId="0" fontId="5" fillId="0" borderId="3" xfId="3" applyFont="1" applyBorder="1" applyAlignment="1" applyProtection="1">
      <alignment vertical="center"/>
      <protection locked="0"/>
    </xf>
    <xf numFmtId="165" fontId="5" fillId="2" borderId="4" xfId="1" applyNumberFormat="1" applyFont="1" applyFill="1" applyBorder="1" applyAlignment="1" applyProtection="1">
      <alignment vertical="center"/>
      <protection locked="0"/>
    </xf>
    <xf numFmtId="0" fontId="5" fillId="4" borderId="5" xfId="3" applyFont="1" applyFill="1" applyBorder="1" applyAlignment="1" applyProtection="1">
      <alignment vertical="center"/>
      <protection locked="0"/>
    </xf>
    <xf numFmtId="165" fontId="5" fillId="4" borderId="4" xfId="3" applyNumberFormat="1" applyFont="1" applyFill="1" applyBorder="1" applyAlignment="1">
      <alignment vertical="center"/>
    </xf>
    <xf numFmtId="0" fontId="5" fillId="0" borderId="5" xfId="3" applyFont="1" applyBorder="1" applyAlignment="1" applyProtection="1">
      <alignment vertical="center" wrapText="1"/>
      <protection locked="0"/>
    </xf>
    <xf numFmtId="164" fontId="3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8" fillId="7" borderId="18" xfId="0" applyFont="1" applyFill="1" applyBorder="1" applyAlignment="1">
      <alignment vertical="center" wrapText="1"/>
    </xf>
    <xf numFmtId="0" fontId="0" fillId="0" borderId="20" xfId="0" applyBorder="1" applyAlignment="1">
      <alignment vertical="center"/>
    </xf>
    <xf numFmtId="0" fontId="8" fillId="0" borderId="18" xfId="0" applyFont="1" applyBorder="1" applyAlignment="1">
      <alignment horizontal="left" vertical="center" wrapText="1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5" fillId="0" borderId="4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8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2" fillId="0" borderId="0" xfId="0" applyFont="1" applyAlignment="1" applyProtection="1">
      <alignment wrapText="1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right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0" fontId="12" fillId="0" borderId="11" xfId="0" applyFont="1" applyBorder="1" applyAlignment="1" applyProtection="1">
      <alignment horizontal="center" wrapText="1"/>
      <protection locked="0"/>
    </xf>
    <xf numFmtId="0" fontId="12" fillId="0" borderId="11" xfId="0" applyFont="1" applyBorder="1" applyAlignment="1" applyProtection="1">
      <alignment horizontal="right" wrapText="1"/>
      <protection locked="0"/>
    </xf>
    <xf numFmtId="0" fontId="6" fillId="0" borderId="3" xfId="0" applyFont="1" applyBorder="1" applyAlignment="1" applyProtection="1">
      <alignment horizontal="right" wrapText="1"/>
      <protection locked="0"/>
    </xf>
    <xf numFmtId="0" fontId="12" fillId="0" borderId="0" xfId="0" applyFont="1" applyAlignment="1" applyProtection="1">
      <alignment horizontal="right" vertical="center" wrapText="1"/>
      <protection locked="0"/>
    </xf>
    <xf numFmtId="0" fontId="12" fillId="0" borderId="3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18" xfId="0" applyFont="1" applyBorder="1" applyAlignment="1" applyProtection="1">
      <alignment vertical="center" wrapText="1"/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12" fillId="0" borderId="20" xfId="0" applyFont="1" applyBorder="1" applyAlignment="1">
      <alignment vertical="center" wrapText="1"/>
    </xf>
    <xf numFmtId="3" fontId="12" fillId="0" borderId="21" xfId="0" applyNumberFormat="1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wrapText="1"/>
      <protection locked="0"/>
    </xf>
    <xf numFmtId="0" fontId="12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2" fillId="0" borderId="13" xfId="0" applyNumberFormat="1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>
      <alignment vertical="center"/>
    </xf>
    <xf numFmtId="3" fontId="12" fillId="10" borderId="21" xfId="0" applyNumberFormat="1" applyFont="1" applyFill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vertical="center" wrapText="1"/>
      <protection locked="0"/>
    </xf>
    <xf numFmtId="3" fontId="12" fillId="0" borderId="0" xfId="0" applyNumberFormat="1" applyFont="1" applyAlignment="1" applyProtection="1">
      <alignment horizontal="center" vertical="center" wrapText="1"/>
      <protection locked="0"/>
    </xf>
    <xf numFmtId="0" fontId="12" fillId="0" borderId="10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3" fontId="12" fillId="9" borderId="2" xfId="0" applyNumberFormat="1" applyFont="1" applyFill="1" applyBorder="1" applyAlignment="1">
      <alignment horizontal="center" vertical="center"/>
    </xf>
    <xf numFmtId="0" fontId="12" fillId="0" borderId="13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>
      <alignment vertical="center" wrapText="1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21" xfId="0" applyFont="1" applyBorder="1" applyAlignment="1" applyProtection="1">
      <alignment horizontal="center" vertical="center"/>
      <protection locked="0"/>
    </xf>
    <xf numFmtId="0" fontId="12" fillId="0" borderId="13" xfId="0" applyFont="1" applyBorder="1" applyAlignment="1" applyProtection="1">
      <alignment wrapText="1"/>
      <protection locked="0"/>
    </xf>
    <xf numFmtId="0" fontId="12" fillId="0" borderId="4" xfId="0" applyFont="1" applyBorder="1" applyAlignment="1" applyProtection="1">
      <alignment horizontal="center" wrapText="1"/>
      <protection locked="0"/>
    </xf>
    <xf numFmtId="0" fontId="12" fillId="0" borderId="19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2" fillId="0" borderId="3" xfId="0" applyFont="1" applyBorder="1" applyAlignment="1" applyProtection="1">
      <alignment horizontal="right" wrapText="1"/>
      <protection locked="0"/>
    </xf>
    <xf numFmtId="3" fontId="12" fillId="9" borderId="21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2" fillId="9" borderId="3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12" fillId="0" borderId="33" xfId="0" applyFont="1" applyBorder="1" applyAlignment="1">
      <alignment vertical="center" wrapText="1"/>
    </xf>
    <xf numFmtId="0" fontId="12" fillId="0" borderId="11" xfId="0" applyFont="1" applyBorder="1" applyAlignment="1" applyProtection="1">
      <alignment wrapText="1"/>
      <protection locked="0"/>
    </xf>
    <xf numFmtId="0" fontId="12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wrapText="1"/>
      <protection locked="0"/>
    </xf>
    <xf numFmtId="0" fontId="12" fillId="0" borderId="4" xfId="0" applyFont="1" applyBorder="1" applyAlignment="1" applyProtection="1">
      <alignment horizontal="right" wrapText="1"/>
      <protection locked="0"/>
    </xf>
    <xf numFmtId="0" fontId="6" fillId="9" borderId="4" xfId="0" applyFont="1" applyFill="1" applyBorder="1" applyAlignment="1">
      <alignment horizontal="center" vertical="center" wrapText="1"/>
    </xf>
    <xf numFmtId="0" fontId="12" fillId="0" borderId="34" xfId="0" applyFont="1" applyBorder="1" applyAlignment="1" applyProtection="1">
      <alignment horizontal="center" wrapText="1"/>
      <protection locked="0"/>
    </xf>
    <xf numFmtId="0" fontId="12" fillId="0" borderId="20" xfId="0" applyFont="1" applyBorder="1" applyAlignment="1" applyProtection="1">
      <alignment wrapText="1"/>
      <protection locked="0"/>
    </xf>
    <xf numFmtId="0" fontId="12" fillId="0" borderId="36" xfId="0" applyFont="1" applyBorder="1" applyAlignment="1" applyProtection="1">
      <alignment horizontal="center" wrapText="1"/>
      <protection locked="0"/>
    </xf>
    <xf numFmtId="0" fontId="12" fillId="0" borderId="36" xfId="0" applyFont="1" applyBorder="1" applyAlignment="1" applyProtection="1">
      <alignment horizontal="right" wrapText="1"/>
      <protection locked="0"/>
    </xf>
    <xf numFmtId="0" fontId="12" fillId="0" borderId="23" xfId="0" applyFont="1" applyBorder="1" applyAlignment="1" applyProtection="1">
      <alignment horizontal="center" wrapText="1"/>
      <protection locked="0"/>
    </xf>
    <xf numFmtId="0" fontId="6" fillId="9" borderId="23" xfId="0" applyFont="1" applyFill="1" applyBorder="1" applyAlignment="1">
      <alignment horizontal="center" wrapText="1"/>
    </xf>
    <xf numFmtId="0" fontId="12" fillId="0" borderId="36" xfId="0" applyFont="1" applyBorder="1" applyAlignment="1" applyProtection="1">
      <alignment wrapText="1"/>
      <protection locked="0"/>
    </xf>
    <xf numFmtId="0" fontId="12" fillId="0" borderId="21" xfId="0" applyFont="1" applyBorder="1" applyAlignment="1" applyProtection="1">
      <alignment wrapText="1"/>
      <protection locked="0"/>
    </xf>
    <xf numFmtId="0" fontId="12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12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horizontal="right" vertical="center"/>
    </xf>
    <xf numFmtId="0" fontId="6" fillId="0" borderId="3" xfId="0" applyFont="1" applyBorder="1" applyAlignment="1" applyProtection="1">
      <alignment horizontal="right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164" fontId="12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2" fillId="0" borderId="0" xfId="0" applyNumberFormat="1" applyFont="1" applyAlignment="1">
      <alignment horizontal="right" vertical="center"/>
    </xf>
    <xf numFmtId="0" fontId="13" fillId="6" borderId="3" xfId="0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 wrapText="1"/>
    </xf>
    <xf numFmtId="0" fontId="14" fillId="8" borderId="3" xfId="0" applyFont="1" applyFill="1" applyBorder="1" applyAlignment="1">
      <alignment vertical="center" wrapText="1"/>
    </xf>
    <xf numFmtId="0" fontId="14" fillId="10" borderId="0" xfId="0" applyFont="1" applyFill="1" applyAlignment="1" applyProtection="1">
      <alignment horizontal="center" vertical="center"/>
      <protection locked="0"/>
    </xf>
    <xf numFmtId="0" fontId="14" fillId="8" borderId="0" xfId="0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10" fontId="14" fillId="11" borderId="0" xfId="4" applyNumberFormat="1" applyFont="1" applyFill="1" applyBorder="1" applyAlignment="1">
      <alignment horizontal="center" vertical="center"/>
    </xf>
    <xf numFmtId="0" fontId="13" fillId="10" borderId="20" xfId="0" applyFont="1" applyFill="1" applyBorder="1" applyAlignment="1">
      <alignment horizontal="left" vertical="center"/>
    </xf>
    <xf numFmtId="0" fontId="14" fillId="10" borderId="36" xfId="0" applyFont="1" applyFill="1" applyBorder="1" applyAlignment="1">
      <alignment horizontal="center" vertical="center"/>
    </xf>
    <xf numFmtId="10" fontId="13" fillId="10" borderId="36" xfId="4" applyNumberFormat="1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 wrapText="1"/>
    </xf>
    <xf numFmtId="10" fontId="14" fillId="11" borderId="13" xfId="4" applyNumberFormat="1" applyFont="1" applyFill="1" applyBorder="1" applyAlignment="1">
      <alignment horizontal="center" vertical="center"/>
    </xf>
    <xf numFmtId="10" fontId="14" fillId="10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10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8" fillId="0" borderId="13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12" fillId="0" borderId="3" xfId="0" applyFont="1" applyBorder="1" applyAlignment="1" applyProtection="1">
      <alignment vertical="center"/>
      <protection locked="0"/>
    </xf>
    <xf numFmtId="0" fontId="12" fillId="0" borderId="37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3" fontId="12" fillId="0" borderId="6" xfId="0" applyNumberFormat="1" applyFont="1" applyBorder="1" applyAlignment="1" applyProtection="1">
      <alignment horizontal="center" vertical="center"/>
      <protection locked="0"/>
    </xf>
    <xf numFmtId="3" fontId="12" fillId="0" borderId="14" xfId="0" applyNumberFormat="1" applyFont="1" applyBorder="1" applyAlignment="1" applyProtection="1">
      <alignment horizontal="center" vertical="center"/>
      <protection locked="0"/>
    </xf>
    <xf numFmtId="3" fontId="12" fillId="0" borderId="30" xfId="0" applyNumberFormat="1" applyFont="1" applyBorder="1" applyAlignment="1" applyProtection="1">
      <alignment horizontal="center" vertical="center"/>
      <protection locked="0"/>
    </xf>
    <xf numFmtId="3" fontId="8" fillId="0" borderId="0" xfId="0" applyNumberFormat="1" applyFont="1" applyAlignment="1" applyProtection="1">
      <alignment horizontal="right" vertical="center"/>
      <protection locked="0"/>
    </xf>
    <xf numFmtId="3" fontId="8" fillId="0" borderId="13" xfId="0" applyNumberFormat="1" applyFont="1" applyBorder="1" applyAlignment="1" applyProtection="1">
      <alignment horizontal="right" vertical="center"/>
      <protection locked="0"/>
    </xf>
    <xf numFmtId="0" fontId="12" fillId="0" borderId="39" xfId="0" applyFont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right" vertical="center"/>
      <protection locked="0"/>
    </xf>
    <xf numFmtId="2" fontId="12" fillId="9" borderId="39" xfId="0" applyNumberFormat="1" applyFont="1" applyFill="1" applyBorder="1" applyAlignment="1">
      <alignment horizontal="center" vertical="center" wrapText="1"/>
    </xf>
    <xf numFmtId="2" fontId="12" fillId="9" borderId="25" xfId="0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9" borderId="11" xfId="0" applyNumberForma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10" fontId="0" fillId="9" borderId="0" xfId="0" applyNumberFormat="1" applyFill="1" applyAlignment="1">
      <alignment horizontal="center" vertical="center"/>
    </xf>
    <xf numFmtId="3" fontId="0" fillId="10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10" borderId="21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6" fillId="12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9" borderId="26" xfId="0" applyNumberFormat="1" applyFill="1" applyBorder="1" applyAlignment="1">
      <alignment horizontal="center" vertical="center"/>
    </xf>
    <xf numFmtId="3" fontId="7" fillId="9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9" borderId="21" xfId="0" applyNumberForma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9" borderId="36" xfId="0" applyNumberFormat="1" applyFill="1" applyBorder="1" applyAlignment="1">
      <alignment horizontal="center" vertical="center"/>
    </xf>
    <xf numFmtId="3" fontId="0" fillId="9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7" fillId="0" borderId="0" xfId="0" applyFont="1"/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9" borderId="12" xfId="0" applyNumberFormat="1" applyFill="1" applyBorder="1" applyAlignment="1">
      <alignment horizontal="center" vertical="center"/>
    </xf>
    <xf numFmtId="10" fontId="0" fillId="9" borderId="13" xfId="0" applyNumberFormat="1" applyFill="1" applyBorder="1" applyAlignment="1">
      <alignment horizontal="center" vertical="center"/>
    </xf>
    <xf numFmtId="0" fontId="16" fillId="12" borderId="21" xfId="0" applyFont="1" applyFill="1" applyBorder="1" applyAlignment="1">
      <alignment horizontal="center" vertical="center" wrapText="1"/>
    </xf>
    <xf numFmtId="10" fontId="0" fillId="9" borderId="2" xfId="0" applyNumberFormat="1" applyFill="1" applyBorder="1" applyAlignment="1">
      <alignment horizontal="center" vertical="center"/>
    </xf>
    <xf numFmtId="0" fontId="8" fillId="0" borderId="21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18" fillId="0" borderId="3" xfId="0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14" fillId="0" borderId="32" xfId="0" applyFont="1" applyBorder="1" applyAlignment="1">
      <alignment horizontal="center"/>
    </xf>
    <xf numFmtId="0" fontId="14" fillId="10" borderId="13" xfId="0" applyFont="1" applyFill="1" applyBorder="1" applyAlignment="1">
      <alignment horizontal="center"/>
    </xf>
    <xf numFmtId="0" fontId="13" fillId="13" borderId="21" xfId="0" applyFont="1" applyFill="1" applyBorder="1" applyAlignment="1">
      <alignment horizontal="center"/>
    </xf>
    <xf numFmtId="0" fontId="9" fillId="0" borderId="3" xfId="0" applyFont="1" applyBorder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16" fillId="0" borderId="2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8" borderId="13" xfId="0" applyFont="1" applyFill="1" applyBorder="1" applyAlignment="1">
      <alignment horizontal="center" vertical="center"/>
    </xf>
    <xf numFmtId="0" fontId="19" fillId="14" borderId="21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left" vertical="top"/>
    </xf>
    <xf numFmtId="0" fontId="16" fillId="0" borderId="0" xfId="0" applyFont="1" applyAlignment="1">
      <alignment vertical="center"/>
    </xf>
    <xf numFmtId="0" fontId="9" fillId="0" borderId="13" xfId="0" applyFont="1" applyBorder="1" applyAlignment="1">
      <alignment horizontal="center" vertical="center"/>
    </xf>
    <xf numFmtId="10" fontId="18" fillId="9" borderId="13" xfId="0" applyNumberFormat="1" applyFont="1" applyFill="1" applyBorder="1" applyAlignment="1" applyProtection="1">
      <alignment horizontal="center" vertical="center" wrapText="1"/>
      <protection locked="0"/>
    </xf>
    <xf numFmtId="10" fontId="18" fillId="9" borderId="2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6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3" xfId="0" applyFont="1" applyBorder="1" applyAlignment="1" applyProtection="1">
      <alignment vertical="center"/>
      <protection locked="0"/>
    </xf>
    <xf numFmtId="0" fontId="19" fillId="0" borderId="0" xfId="0" applyFont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left" vertical="center"/>
      <protection locked="0"/>
    </xf>
    <xf numFmtId="0" fontId="16" fillId="0" borderId="13" xfId="0" applyFont="1" applyBorder="1" applyAlignment="1">
      <alignment horizontal="center" vertical="center" wrapText="1"/>
    </xf>
    <xf numFmtId="0" fontId="9" fillId="0" borderId="0" xfId="0" applyFont="1" applyAlignment="1" applyProtection="1">
      <alignment horizontal="left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left" vertical="center"/>
      <protection locked="0"/>
    </xf>
    <xf numFmtId="0" fontId="14" fillId="0" borderId="13" xfId="0" applyFont="1" applyBorder="1" applyAlignment="1" applyProtection="1">
      <alignment horizontal="center" vertical="center"/>
      <protection locked="0"/>
    </xf>
    <xf numFmtId="0" fontId="22" fillId="8" borderId="3" xfId="0" applyFont="1" applyFill="1" applyBorder="1" applyAlignment="1">
      <alignment vertical="center"/>
    </xf>
    <xf numFmtId="0" fontId="22" fillId="8" borderId="2" xfId="0" applyFont="1" applyFill="1" applyBorder="1" applyAlignment="1">
      <alignment horizontal="center" vertical="center"/>
    </xf>
    <xf numFmtId="3" fontId="22" fillId="8" borderId="13" xfId="0" applyNumberFormat="1" applyFont="1" applyFill="1" applyBorder="1" applyAlignment="1" applyProtection="1">
      <alignment horizontal="center" vertical="center"/>
      <protection locked="0"/>
    </xf>
    <xf numFmtId="0" fontId="22" fillId="8" borderId="20" xfId="0" applyFont="1" applyFill="1" applyBorder="1" applyAlignment="1">
      <alignment vertical="center" wrapText="1"/>
    </xf>
    <xf numFmtId="3" fontId="22" fillId="9" borderId="21" xfId="0" applyNumberFormat="1" applyFont="1" applyFill="1" applyBorder="1" applyAlignment="1">
      <alignment horizontal="center" vertical="center"/>
    </xf>
    <xf numFmtId="0" fontId="18" fillId="0" borderId="0" xfId="0" applyFont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8" xfId="0" applyFont="1" applyBorder="1" applyAlignment="1" applyProtection="1">
      <alignment horizontal="center" vertical="center"/>
      <protection locked="0"/>
    </xf>
    <xf numFmtId="0" fontId="23" fillId="0" borderId="25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14" fillId="0" borderId="3" xfId="0" applyFont="1" applyBorder="1"/>
    <xf numFmtId="0" fontId="9" fillId="11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left" vertical="center" wrapText="1"/>
      <protection locked="0"/>
    </xf>
    <xf numFmtId="0" fontId="18" fillId="9" borderId="36" xfId="0" applyFont="1" applyFill="1" applyBorder="1" applyAlignment="1">
      <alignment horizontal="center" vertical="center" wrapText="1"/>
    </xf>
    <xf numFmtId="0" fontId="18" fillId="9" borderId="2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justify" vertical="top"/>
      <protection locked="0"/>
    </xf>
    <xf numFmtId="0" fontId="16" fillId="8" borderId="0" xfId="0" applyFont="1" applyFill="1" applyAlignment="1" applyProtection="1">
      <alignment horizontal="center" vertical="center" wrapText="1"/>
      <protection locked="0"/>
    </xf>
    <xf numFmtId="3" fontId="9" fillId="14" borderId="1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13" fillId="0" borderId="21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vertical="center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vertical="center"/>
      <protection locked="0"/>
    </xf>
    <xf numFmtId="3" fontId="14" fillId="0" borderId="13" xfId="0" applyNumberFormat="1" applyFont="1" applyBorder="1" applyAlignment="1">
      <alignment horizontal="center" vertical="center" wrapText="1"/>
    </xf>
    <xf numFmtId="0" fontId="14" fillId="0" borderId="42" xfId="0" applyFont="1" applyBorder="1" applyAlignment="1" applyProtection="1">
      <alignment vertical="center"/>
      <protection locked="0"/>
    </xf>
    <xf numFmtId="0" fontId="14" fillId="0" borderId="43" xfId="0" applyFont="1" applyBorder="1" applyAlignment="1" applyProtection="1">
      <alignment vertical="center"/>
      <protection locked="0"/>
    </xf>
    <xf numFmtId="0" fontId="14" fillId="0" borderId="44" xfId="0" applyFont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left" vertical="center" wrapText="1"/>
      <protection locked="0"/>
    </xf>
    <xf numFmtId="0" fontId="14" fillId="0" borderId="36" xfId="0" applyFont="1" applyBorder="1" applyAlignment="1" applyProtection="1">
      <alignment vertical="center"/>
      <protection locked="0"/>
    </xf>
    <xf numFmtId="0" fontId="13" fillId="9" borderId="21" xfId="0" applyFont="1" applyFill="1" applyBorder="1" applyAlignment="1">
      <alignment horizontal="center" vertical="center" wrapText="1"/>
    </xf>
    <xf numFmtId="0" fontId="14" fillId="0" borderId="13" xfId="0" applyFont="1" applyBorder="1" applyAlignment="1" applyProtection="1">
      <alignment vertical="center"/>
      <protection locked="0"/>
    </xf>
    <xf numFmtId="0" fontId="14" fillId="0" borderId="0" xfId="0" applyFont="1" applyAlignment="1" applyProtection="1">
      <alignment horizontal="right" vertical="center" wrapText="1"/>
      <protection locked="0"/>
    </xf>
    <xf numFmtId="0" fontId="24" fillId="0" borderId="0" xfId="0" applyFont="1" applyAlignment="1">
      <alignment horizontal="center" wrapText="1"/>
    </xf>
    <xf numFmtId="49" fontId="9" fillId="0" borderId="25" xfId="0" applyNumberFormat="1" applyFont="1" applyBorder="1" applyAlignment="1" applyProtection="1">
      <alignment vertical="center"/>
      <protection locked="0"/>
    </xf>
    <xf numFmtId="49" fontId="9" fillId="0" borderId="0" xfId="0" applyNumberFormat="1" applyFont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27" xfId="0" applyFont="1" applyBorder="1" applyAlignment="1" applyProtection="1">
      <alignment horizontal="center" vertical="center" wrapText="1"/>
      <protection locked="0"/>
    </xf>
    <xf numFmtId="0" fontId="9" fillId="0" borderId="28" xfId="0" applyFont="1" applyBorder="1" applyAlignment="1" applyProtection="1">
      <alignment horizontal="center" vertical="center" wrapText="1"/>
      <protection locked="0"/>
    </xf>
    <xf numFmtId="0" fontId="18" fillId="0" borderId="29" xfId="0" applyFont="1" applyBorder="1" applyAlignment="1" applyProtection="1">
      <alignment horizontal="center" vertical="center" wrapText="1"/>
      <protection locked="0"/>
    </xf>
    <xf numFmtId="3" fontId="18" fillId="9" borderId="13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3" fontId="18" fillId="8" borderId="20" xfId="0" applyNumberFormat="1" applyFont="1" applyFill="1" applyBorder="1" applyAlignment="1" applyProtection="1">
      <alignment horizontal="center" vertical="center" wrapText="1"/>
      <protection locked="0"/>
    </xf>
    <xf numFmtId="3" fontId="18" fillId="9" borderId="36" xfId="0" applyNumberFormat="1" applyFont="1" applyFill="1" applyBorder="1" applyAlignment="1">
      <alignment horizontal="center" vertical="center" wrapText="1"/>
    </xf>
    <xf numFmtId="3" fontId="18" fillId="9" borderId="2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 applyProtection="1">
      <alignment vertical="center"/>
      <protection locked="0"/>
    </xf>
    <xf numFmtId="0" fontId="9" fillId="12" borderId="0" xfId="0" applyFont="1" applyFill="1" applyAlignment="1">
      <alignment horizontal="center" vertical="center" wrapText="1"/>
    </xf>
    <xf numFmtId="0" fontId="9" fillId="0" borderId="21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9" fillId="10" borderId="13" xfId="0" applyFont="1" applyFill="1" applyBorder="1" applyAlignment="1" applyProtection="1">
      <alignment horizontal="center" vertical="center"/>
      <protection locked="0"/>
    </xf>
    <xf numFmtId="0" fontId="9" fillId="0" borderId="29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right" vertical="center"/>
      <protection locked="0"/>
    </xf>
    <xf numFmtId="0" fontId="9" fillId="0" borderId="25" xfId="0" applyFont="1" applyBorder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18" fillId="9" borderId="0" xfId="0" applyFont="1" applyFill="1" applyAlignment="1">
      <alignment horizontal="center" vertical="center" wrapText="1"/>
    </xf>
    <xf numFmtId="0" fontId="9" fillId="12" borderId="26" xfId="0" applyFont="1" applyFill="1" applyBorder="1" applyAlignment="1">
      <alignment horizontal="center" vertical="center" wrapText="1"/>
    </xf>
    <xf numFmtId="0" fontId="18" fillId="9" borderId="26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8" borderId="0" xfId="0" applyFont="1" applyFill="1" applyAlignment="1" applyProtection="1">
      <alignment horizontal="center" vertical="center"/>
      <protection locked="0"/>
    </xf>
    <xf numFmtId="0" fontId="18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18" fillId="10" borderId="4" xfId="0" applyFont="1" applyFill="1" applyBorder="1" applyAlignment="1">
      <alignment horizontal="center" vertical="center" wrapText="1"/>
    </xf>
    <xf numFmtId="10" fontId="18" fillId="9" borderId="4" xfId="2" applyNumberFormat="1" applyFont="1" applyFill="1" applyBorder="1" applyAlignment="1">
      <alignment horizontal="center" vertical="center" wrapText="1"/>
    </xf>
    <xf numFmtId="3" fontId="18" fillId="10" borderId="4" xfId="0" applyNumberFormat="1" applyFont="1" applyFill="1" applyBorder="1" applyAlignment="1">
      <alignment horizontal="center" vertical="center" wrapText="1"/>
    </xf>
    <xf numFmtId="10" fontId="18" fillId="10" borderId="19" xfId="2" applyNumberFormat="1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10" borderId="23" xfId="0" applyFont="1" applyFill="1" applyBorder="1" applyAlignment="1">
      <alignment horizontal="center" vertical="center" wrapText="1"/>
    </xf>
    <xf numFmtId="3" fontId="18" fillId="10" borderId="23" xfId="0" applyNumberFormat="1" applyFont="1" applyFill="1" applyBorder="1" applyAlignment="1">
      <alignment horizontal="center" vertical="center" wrapText="1"/>
    </xf>
    <xf numFmtId="10" fontId="18" fillId="10" borderId="24" xfId="2" applyNumberFormat="1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vertical="center"/>
      <protection locked="0"/>
    </xf>
    <xf numFmtId="0" fontId="9" fillId="0" borderId="20" xfId="0" applyFont="1" applyBorder="1" applyAlignment="1" applyProtection="1">
      <alignment vertical="center"/>
      <protection locked="0"/>
    </xf>
    <xf numFmtId="0" fontId="14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>
      <alignment horizontal="center" vertical="center" wrapText="1"/>
    </xf>
    <xf numFmtId="0" fontId="18" fillId="14" borderId="36" xfId="0" applyFont="1" applyFill="1" applyBorder="1" applyAlignment="1">
      <alignment horizontal="center" vertical="center" wrapText="1"/>
    </xf>
    <xf numFmtId="0" fontId="27" fillId="6" borderId="4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8" borderId="4" xfId="0" applyFont="1" applyFill="1" applyBorder="1" applyAlignment="1">
      <alignment horizontal="center" vertical="center" wrapText="1"/>
    </xf>
    <xf numFmtId="0" fontId="18" fillId="14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20" xfId="0" applyFont="1" applyBorder="1"/>
    <xf numFmtId="0" fontId="14" fillId="0" borderId="36" xfId="0" applyFont="1" applyBorder="1"/>
    <xf numFmtId="0" fontId="28" fillId="0" borderId="0" xfId="0" applyFont="1" applyAlignment="1" applyProtection="1">
      <alignment vertical="center"/>
      <protection locked="0"/>
    </xf>
    <xf numFmtId="0" fontId="28" fillId="0" borderId="0" xfId="0" applyFont="1" applyProtection="1">
      <protection locked="0"/>
    </xf>
    <xf numFmtId="0" fontId="28" fillId="0" borderId="10" xfId="0" applyFont="1" applyBorder="1" applyProtection="1">
      <protection locked="0"/>
    </xf>
    <xf numFmtId="0" fontId="28" fillId="0" borderId="11" xfId="0" applyFont="1" applyBorder="1" applyProtection="1">
      <protection locked="0"/>
    </xf>
    <xf numFmtId="0" fontId="29" fillId="0" borderId="3" xfId="0" applyFont="1" applyBorder="1" applyAlignment="1" applyProtection="1">
      <alignment vertical="center" wrapText="1"/>
      <protection locked="0"/>
    </xf>
    <xf numFmtId="0" fontId="29" fillId="0" borderId="0" xfId="0" applyFont="1" applyAlignment="1" applyProtection="1">
      <alignment vertical="center" wrapText="1"/>
      <protection locked="0"/>
    </xf>
    <xf numFmtId="0" fontId="28" fillId="0" borderId="3" xfId="0" applyFont="1" applyBorder="1"/>
    <xf numFmtId="0" fontId="30" fillId="0" borderId="0" xfId="0" applyFont="1"/>
    <xf numFmtId="0" fontId="28" fillId="0" borderId="0" xfId="0" applyFont="1"/>
    <xf numFmtId="0" fontId="28" fillId="0" borderId="3" xfId="0" applyFont="1" applyBorder="1" applyAlignment="1">
      <alignment wrapText="1"/>
    </xf>
    <xf numFmtId="0" fontId="28" fillId="0" borderId="0" xfId="0" applyFont="1" applyAlignment="1">
      <alignment wrapText="1"/>
    </xf>
    <xf numFmtId="0" fontId="31" fillId="0" borderId="0" xfId="0" applyFont="1" applyAlignment="1">
      <alignment horizontal="center" vertical="center" wrapText="1"/>
    </xf>
    <xf numFmtId="0" fontId="28" fillId="0" borderId="3" xfId="0" applyFont="1" applyBorder="1" applyProtection="1">
      <protection locked="0"/>
    </xf>
    <xf numFmtId="0" fontId="33" fillId="0" borderId="3" xfId="0" applyFont="1" applyBorder="1" applyProtection="1">
      <protection locked="0"/>
    </xf>
    <xf numFmtId="0" fontId="28" fillId="0" borderId="20" xfId="0" applyFont="1" applyBorder="1" applyProtection="1">
      <protection locked="0"/>
    </xf>
    <xf numFmtId="0" fontId="28" fillId="0" borderId="36" xfId="0" applyFont="1" applyBorder="1" applyProtection="1">
      <protection locked="0"/>
    </xf>
    <xf numFmtId="0" fontId="29" fillId="0" borderId="0" xfId="0" applyFont="1" applyAlignment="1" applyProtection="1">
      <alignment vertical="center"/>
      <protection locked="0"/>
    </xf>
    <xf numFmtId="0" fontId="28" fillId="0" borderId="0" xfId="0" applyFont="1" applyAlignment="1" applyProtection="1">
      <alignment horizontal="center" vertical="center" wrapText="1"/>
      <protection locked="0"/>
    </xf>
    <xf numFmtId="3" fontId="33" fillId="0" borderId="0" xfId="0" applyNumberFormat="1" applyFont="1" applyAlignment="1" applyProtection="1">
      <alignment vertical="center" wrapText="1"/>
      <protection locked="0"/>
    </xf>
    <xf numFmtId="0" fontId="28" fillId="0" borderId="12" xfId="0" applyFont="1" applyBorder="1" applyProtection="1">
      <protection locked="0"/>
    </xf>
    <xf numFmtId="0" fontId="29" fillId="0" borderId="13" xfId="0" applyFont="1" applyBorder="1" applyAlignment="1" applyProtection="1">
      <alignment vertical="center" wrapText="1"/>
      <protection locked="0"/>
    </xf>
    <xf numFmtId="0" fontId="29" fillId="0" borderId="0" xfId="0" applyFont="1" applyAlignment="1" applyProtection="1">
      <alignment horizontal="center" vertical="center" wrapText="1"/>
      <protection locked="0"/>
    </xf>
    <xf numFmtId="0" fontId="29" fillId="0" borderId="0" xfId="0" applyFont="1" applyProtection="1">
      <protection locked="0"/>
    </xf>
    <xf numFmtId="0" fontId="28" fillId="0" borderId="13" xfId="0" applyFont="1" applyBorder="1"/>
    <xf numFmtId="0" fontId="28" fillId="0" borderId="13" xfId="0" applyFont="1" applyBorder="1" applyAlignment="1">
      <alignment wrapText="1"/>
    </xf>
    <xf numFmtId="0" fontId="28" fillId="0" borderId="0" xfId="0" applyFont="1" applyAlignment="1" applyProtection="1">
      <alignment wrapText="1"/>
      <protection locked="0"/>
    </xf>
    <xf numFmtId="0" fontId="28" fillId="0" borderId="13" xfId="0" applyFont="1" applyBorder="1" applyProtection="1">
      <protection locked="0"/>
    </xf>
    <xf numFmtId="0" fontId="28" fillId="0" borderId="21" xfId="0" applyFont="1" applyBorder="1" applyProtection="1">
      <protection locked="0"/>
    </xf>
    <xf numFmtId="2" fontId="13" fillId="11" borderId="0" xfId="0" applyNumberFormat="1" applyFont="1" applyFill="1" applyAlignment="1">
      <alignment horizontal="center" vertical="center"/>
    </xf>
    <xf numFmtId="2" fontId="14" fillId="10" borderId="36" xfId="0" applyNumberFormat="1" applyFont="1" applyFill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0" fillId="0" borderId="34" xfId="0" applyFont="1" applyBorder="1" applyAlignment="1">
      <alignment horizontal="center" vertical="center"/>
    </xf>
    <xf numFmtId="0" fontId="41" fillId="0" borderId="4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0" xfId="0" applyNumberFormat="1" applyAlignment="1" applyProtection="1">
      <alignment horizontal="center" vertical="center"/>
      <protection locked="0"/>
    </xf>
    <xf numFmtId="0" fontId="42" fillId="0" borderId="4" xfId="0" applyFont="1" applyBorder="1"/>
    <xf numFmtId="0" fontId="0" fillId="0" borderId="4" xfId="0" applyBorder="1"/>
    <xf numFmtId="0" fontId="43" fillId="8" borderId="4" xfId="0" applyFont="1" applyFill="1" applyBorder="1" applyAlignment="1" applyProtection="1">
      <alignment horizontal="center" vertical="center"/>
      <protection locked="0"/>
    </xf>
    <xf numFmtId="166" fontId="43" fillId="8" borderId="4" xfId="0" applyNumberFormat="1" applyFont="1" applyFill="1" applyBorder="1" applyAlignment="1" applyProtection="1">
      <alignment horizontal="center" vertical="center"/>
      <protection locked="0"/>
    </xf>
    <xf numFmtId="166" fontId="0" fillId="0" borderId="36" xfId="0" applyNumberFormat="1" applyBorder="1" applyAlignment="1" applyProtection="1">
      <alignment horizontal="center" vertical="center"/>
      <protection locked="0"/>
    </xf>
    <xf numFmtId="3" fontId="44" fillId="0" borderId="36" xfId="0" applyNumberFormat="1" applyFont="1" applyBorder="1" applyAlignment="1" applyProtection="1">
      <alignment horizontal="center" vertical="center"/>
      <protection locked="0"/>
    </xf>
    <xf numFmtId="0" fontId="41" fillId="0" borderId="0" xfId="0" applyFont="1" applyAlignment="1" applyProtection="1">
      <alignment horizontal="center" vertical="center"/>
      <protection locked="0"/>
    </xf>
    <xf numFmtId="0" fontId="41" fillId="0" borderId="0" xfId="0" applyFont="1" applyAlignment="1">
      <alignment horizontal="center" vertical="center"/>
    </xf>
    <xf numFmtId="0" fontId="21" fillId="8" borderId="2" xfId="0" applyFont="1" applyFill="1" applyBorder="1" applyAlignment="1">
      <alignment horizontal="center" vertical="center"/>
    </xf>
    <xf numFmtId="0" fontId="45" fillId="0" borderId="3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0" fontId="45" fillId="0" borderId="13" xfId="0" applyFont="1" applyBorder="1" applyAlignment="1">
      <alignment vertical="center"/>
    </xf>
    <xf numFmtId="0" fontId="46" fillId="0" borderId="3" xfId="0" applyFont="1" applyBorder="1" applyAlignment="1">
      <alignment horizontal="right" vertical="center"/>
    </xf>
    <xf numFmtId="0" fontId="40" fillId="0" borderId="0" xfId="0" applyFont="1" applyAlignment="1">
      <alignment horizontal="right" vertical="center"/>
    </xf>
    <xf numFmtId="164" fontId="45" fillId="0" borderId="14" xfId="0" applyNumberFormat="1" applyFont="1" applyBorder="1" applyAlignment="1">
      <alignment horizontal="left" vertical="center"/>
    </xf>
    <xf numFmtId="0" fontId="46" fillId="0" borderId="14" xfId="0" applyFont="1" applyBorder="1" applyAlignment="1">
      <alignment vertical="center"/>
    </xf>
    <xf numFmtId="0" fontId="46" fillId="0" borderId="0" xfId="0" applyFont="1" applyAlignment="1">
      <alignment vertical="center"/>
    </xf>
    <xf numFmtId="0" fontId="40" fillId="0" borderId="34" xfId="0" applyFont="1" applyBorder="1" applyAlignment="1">
      <alignment vertical="center"/>
    </xf>
    <xf numFmtId="0" fontId="43" fillId="0" borderId="4" xfId="0" applyFont="1" applyBorder="1" applyAlignment="1" applyProtection="1">
      <alignment horizontal="center"/>
      <protection locked="0"/>
    </xf>
    <xf numFmtId="166" fontId="43" fillId="0" borderId="4" xfId="6" applyNumberFormat="1" applyFont="1" applyBorder="1" applyAlignment="1" applyProtection="1">
      <alignment horizontal="center"/>
      <protection locked="0"/>
    </xf>
    <xf numFmtId="166" fontId="43" fillId="0" borderId="4" xfId="6" applyNumberFormat="1" applyFont="1" applyFill="1" applyBorder="1" applyAlignment="1" applyProtection="1">
      <alignment horizontal="center"/>
      <protection locked="0"/>
    </xf>
    <xf numFmtId="166" fontId="43" fillId="0" borderId="4" xfId="0" applyNumberFormat="1" applyFont="1" applyBorder="1" applyAlignment="1" applyProtection="1">
      <alignment horizontal="center"/>
      <protection locked="0"/>
    </xf>
    <xf numFmtId="0" fontId="45" fillId="0" borderId="3" xfId="0" applyFont="1" applyBorder="1" applyAlignment="1">
      <alignment vertical="center"/>
    </xf>
    <xf numFmtId="0" fontId="21" fillId="8" borderId="3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right" vertical="center" wrapText="1"/>
    </xf>
    <xf numFmtId="0" fontId="8" fillId="0" borderId="33" xfId="0" applyFont="1" applyBorder="1" applyAlignment="1">
      <alignment vertical="center" wrapText="1"/>
    </xf>
    <xf numFmtId="0" fontId="49" fillId="0" borderId="49" xfId="8" applyFont="1" applyFill="1" applyBorder="1" applyAlignment="1">
      <alignment horizontal="left"/>
    </xf>
    <xf numFmtId="167" fontId="49" fillId="0" borderId="49" xfId="7" applyNumberFormat="1" applyFont="1" applyBorder="1" applyAlignment="1">
      <alignment horizontal="left"/>
    </xf>
    <xf numFmtId="0" fontId="49" fillId="0" borderId="49" xfId="8" applyFont="1" applyBorder="1" applyAlignment="1">
      <alignment horizontal="left"/>
    </xf>
    <xf numFmtId="0" fontId="12" fillId="0" borderId="49" xfId="0" applyFont="1" applyBorder="1" applyAlignment="1" applyProtection="1">
      <alignment horizontal="right" wrapText="1"/>
      <protection locked="0"/>
    </xf>
    <xf numFmtId="0" fontId="12" fillId="0" borderId="49" xfId="0" applyFont="1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0" fillId="0" borderId="30" xfId="0" applyBorder="1" applyAlignment="1" applyProtection="1">
      <alignment horizontal="center" wrapText="1"/>
      <protection locked="0"/>
    </xf>
    <xf numFmtId="0" fontId="0" fillId="0" borderId="49" xfId="0" applyBorder="1" applyAlignment="1" applyProtection="1">
      <alignment horizontal="center" wrapText="1"/>
      <protection locked="0"/>
    </xf>
    <xf numFmtId="0" fontId="12" fillId="0" borderId="49" xfId="0" applyFont="1" applyBorder="1" applyAlignment="1" applyProtection="1">
      <alignment wrapText="1"/>
      <protection locked="0"/>
    </xf>
    <xf numFmtId="4" fontId="9" fillId="10" borderId="4" xfId="0" applyNumberFormat="1" applyFont="1" applyFill="1" applyBorder="1" applyAlignment="1">
      <alignment horizontal="center" vertical="center" wrapText="1"/>
    </xf>
    <xf numFmtId="4" fontId="18" fillId="10" borderId="23" xfId="0" applyNumberFormat="1" applyFont="1" applyFill="1" applyBorder="1" applyAlignment="1">
      <alignment horizontal="center" vertical="center" wrapText="1"/>
    </xf>
    <xf numFmtId="3" fontId="12" fillId="9" borderId="0" xfId="0" applyNumberFormat="1" applyFont="1" applyFill="1" applyAlignment="1" applyProtection="1">
      <alignment horizontal="center" vertical="center" wrapText="1"/>
      <protection locked="0"/>
    </xf>
    <xf numFmtId="0" fontId="28" fillId="0" borderId="3" xfId="0" applyFont="1" applyBorder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28" fillId="0" borderId="13" xfId="0" applyFont="1" applyBorder="1" applyAlignment="1" applyProtection="1">
      <alignment horizontal="center"/>
      <protection locked="0"/>
    </xf>
    <xf numFmtId="0" fontId="31" fillId="0" borderId="0" xfId="0" applyFont="1" applyAlignment="1">
      <alignment horizontal="center" vertical="center" wrapText="1"/>
    </xf>
    <xf numFmtId="0" fontId="30" fillId="0" borderId="3" xfId="0" applyFont="1" applyBorder="1" applyAlignment="1">
      <alignment horizontal="right"/>
    </xf>
    <xf numFmtId="0" fontId="30" fillId="0" borderId="0" xfId="0" applyFont="1" applyAlignment="1">
      <alignment horizontal="right"/>
    </xf>
    <xf numFmtId="0" fontId="28" fillId="0" borderId="25" xfId="0" applyFont="1" applyBorder="1" applyAlignment="1">
      <alignment horizontal="center"/>
    </xf>
    <xf numFmtId="49" fontId="28" fillId="0" borderId="25" xfId="0" applyNumberFormat="1" applyFont="1" applyBorder="1" applyAlignment="1">
      <alignment horizontal="center"/>
    </xf>
    <xf numFmtId="0" fontId="32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26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26" fillId="2" borderId="14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/>
    </xf>
    <xf numFmtId="0" fontId="26" fillId="6" borderId="18" xfId="0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left" vertical="center" wrapText="1"/>
    </xf>
    <xf numFmtId="0" fontId="27" fillId="0" borderId="18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0" fontId="27" fillId="0" borderId="18" xfId="0" applyFont="1" applyBorder="1" applyAlignment="1">
      <alignment vertical="center"/>
    </xf>
    <xf numFmtId="0" fontId="27" fillId="0" borderId="4" xfId="0" applyFont="1" applyBorder="1" applyAlignment="1">
      <alignment vertical="center"/>
    </xf>
    <xf numFmtId="0" fontId="18" fillId="14" borderId="5" xfId="0" applyFont="1" applyFill="1" applyBorder="1" applyAlignment="1">
      <alignment horizontal="center" vertical="center" wrapText="1"/>
    </xf>
    <xf numFmtId="0" fontId="18" fillId="14" borderId="7" xfId="0" applyFont="1" applyFill="1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18" fillId="0" borderId="20" xfId="0" applyFont="1" applyBorder="1" applyAlignment="1" applyProtection="1">
      <alignment horizontal="center" vertical="center" wrapText="1"/>
      <protection locked="0"/>
    </xf>
    <xf numFmtId="0" fontId="18" fillId="0" borderId="36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left" vertical="center" wrapText="1"/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26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8" fillId="0" borderId="45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vertical="center"/>
      <protection locked="0"/>
    </xf>
    <xf numFmtId="0" fontId="19" fillId="0" borderId="2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0" xfId="0" applyFont="1" applyAlignment="1" applyProtection="1">
      <alignment horizontal="justify" vertical="top" wrapText="1"/>
      <protection locked="0"/>
    </xf>
    <xf numFmtId="0" fontId="9" fillId="0" borderId="13" xfId="0" applyFont="1" applyBorder="1" applyAlignment="1" applyProtection="1">
      <alignment horizontal="justify" vertical="top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26" xfId="0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justify" vertical="top"/>
      <protection locked="0"/>
    </xf>
    <xf numFmtId="0" fontId="18" fillId="8" borderId="1" xfId="0" applyFont="1" applyFill="1" applyBorder="1" applyAlignment="1" applyProtection="1">
      <alignment horizontal="center" vertical="center" wrapText="1"/>
      <protection locked="0"/>
    </xf>
    <xf numFmtId="0" fontId="18" fillId="8" borderId="26" xfId="0" applyFont="1" applyFill="1" applyBorder="1" applyAlignment="1" applyProtection="1">
      <alignment horizontal="center" vertical="center" wrapText="1"/>
      <protection locked="0"/>
    </xf>
    <xf numFmtId="0" fontId="18" fillId="8" borderId="2" xfId="0" applyFont="1" applyFill="1" applyBorder="1" applyAlignment="1" applyProtection="1">
      <alignment horizontal="center" vertical="center" wrapText="1"/>
      <protection locked="0"/>
    </xf>
    <xf numFmtId="3" fontId="9" fillId="8" borderId="3" xfId="0" applyNumberFormat="1" applyFont="1" applyFill="1" applyBorder="1" applyAlignment="1" applyProtection="1">
      <alignment horizontal="left" vertical="center" wrapText="1"/>
      <protection locked="0"/>
    </xf>
    <xf numFmtId="3" fontId="9" fillId="8" borderId="0" xfId="0" applyNumberFormat="1" applyFont="1" applyFill="1" applyAlignment="1" applyProtection="1">
      <alignment horizontal="left" vertical="center" wrapText="1"/>
      <protection locked="0"/>
    </xf>
    <xf numFmtId="0" fontId="9" fillId="8" borderId="0" xfId="0" applyFont="1" applyFill="1" applyAlignment="1">
      <alignment horizontal="center" vertical="top" wrapText="1"/>
    </xf>
    <xf numFmtId="0" fontId="9" fillId="8" borderId="36" xfId="0" applyFont="1" applyFill="1" applyBorder="1" applyAlignment="1">
      <alignment horizontal="center" vertical="top" wrapText="1"/>
    </xf>
    <xf numFmtId="0" fontId="9" fillId="8" borderId="13" xfId="0" applyFont="1" applyFill="1" applyBorder="1" applyAlignment="1">
      <alignment horizontal="center" vertical="top" wrapText="1"/>
    </xf>
    <xf numFmtId="0" fontId="9" fillId="8" borderId="21" xfId="0" applyFont="1" applyFill="1" applyBorder="1" applyAlignment="1">
      <alignment horizontal="center" vertical="top" wrapText="1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26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6" fillId="8" borderId="3" xfId="0" applyFont="1" applyFill="1" applyBorder="1" applyAlignment="1" applyProtection="1">
      <alignment horizontal="center" vertical="center" wrapText="1"/>
      <protection locked="0"/>
    </xf>
    <xf numFmtId="0" fontId="16" fillId="8" borderId="0" xfId="0" applyFont="1" applyFill="1" applyAlignment="1" applyProtection="1">
      <alignment horizontal="center" vertical="center" wrapText="1"/>
      <protection locked="0"/>
    </xf>
    <xf numFmtId="0" fontId="16" fillId="8" borderId="20" xfId="0" applyFont="1" applyFill="1" applyBorder="1" applyAlignment="1" applyProtection="1">
      <alignment horizontal="center" vertical="center" wrapText="1"/>
      <protection locked="0"/>
    </xf>
    <xf numFmtId="0" fontId="16" fillId="8" borderId="36" xfId="0" applyFont="1" applyFill="1" applyBorder="1" applyAlignment="1" applyProtection="1">
      <alignment horizontal="center" vertical="center" wrapText="1"/>
      <protection locked="0"/>
    </xf>
    <xf numFmtId="3" fontId="18" fillId="8" borderId="20" xfId="0" applyNumberFormat="1" applyFont="1" applyFill="1" applyBorder="1" applyAlignment="1" applyProtection="1">
      <alignment horizontal="left" vertical="center" wrapText="1"/>
      <protection locked="0"/>
    </xf>
    <xf numFmtId="3" fontId="18" fillId="8" borderId="36" xfId="0" applyNumberFormat="1" applyFont="1" applyFill="1" applyBorder="1" applyAlignment="1" applyProtection="1">
      <alignment horizontal="left" vertical="center" wrapText="1"/>
      <protection locked="0"/>
    </xf>
    <xf numFmtId="49" fontId="9" fillId="0" borderId="0" xfId="0" applyNumberFormat="1" applyFont="1" applyAlignment="1" applyProtection="1">
      <alignment horizontal="left" vertical="center" wrapText="1"/>
      <protection locked="0"/>
    </xf>
    <xf numFmtId="0" fontId="13" fillId="0" borderId="1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9" fillId="0" borderId="20" xfId="0" applyFont="1" applyBorder="1" applyAlignment="1">
      <alignment vertical="center" wrapText="1"/>
    </xf>
    <xf numFmtId="0" fontId="19" fillId="0" borderId="36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3" xfId="0" applyFont="1" applyBorder="1" applyAlignment="1">
      <alignment horizontal="justify" vertical="top" wrapText="1"/>
    </xf>
    <xf numFmtId="0" fontId="16" fillId="0" borderId="0" xfId="0" applyFont="1" applyAlignment="1">
      <alignment horizontal="justify" vertical="top" wrapText="1"/>
    </xf>
    <xf numFmtId="0" fontId="16" fillId="0" borderId="3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21" fillId="8" borderId="1" xfId="0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left" vertical="center" wrapText="1"/>
    </xf>
    <xf numFmtId="0" fontId="16" fillId="0" borderId="36" xfId="0" applyFont="1" applyBorder="1" applyAlignment="1">
      <alignment horizontal="left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center" vertical="top" wrapText="1"/>
      <protection locked="0"/>
    </xf>
    <xf numFmtId="0" fontId="7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9" borderId="35" xfId="0" applyNumberFormat="1" applyFill="1" applyBorder="1" applyAlignment="1">
      <alignment horizontal="center" vertical="center"/>
    </xf>
    <xf numFmtId="10" fontId="0" fillId="9" borderId="41" xfId="0" applyNumberFormat="1" applyFill="1" applyBorder="1" applyAlignment="1">
      <alignment horizontal="center" vertical="center"/>
    </xf>
    <xf numFmtId="0" fontId="0" fillId="0" borderId="13" xfId="0" applyBorder="1" applyAlignment="1" applyProtection="1">
      <alignment horizontal="justify" vertical="top" wrapText="1"/>
      <protection locked="0"/>
    </xf>
    <xf numFmtId="0" fontId="13" fillId="8" borderId="1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49" fontId="12" fillId="0" borderId="25" xfId="0" applyNumberFormat="1" applyFont="1" applyBorder="1" applyAlignment="1" applyProtection="1">
      <alignment horizontal="left" vertical="center"/>
      <protection locked="0"/>
    </xf>
    <xf numFmtId="0" fontId="12" fillId="0" borderId="25" xfId="0" applyFont="1" applyBorder="1" applyAlignment="1" applyProtection="1">
      <alignment horizontal="left" vertical="center"/>
      <protection locked="0"/>
    </xf>
    <xf numFmtId="164" fontId="12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7" fillId="9" borderId="36" xfId="0" applyNumberFormat="1" applyFont="1" applyFill="1" applyBorder="1" applyAlignment="1">
      <alignment horizontal="center" vertical="center"/>
    </xf>
    <xf numFmtId="3" fontId="7" fillId="9" borderId="2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6" fillId="2" borderId="26" xfId="0" applyFont="1" applyFill="1" applyBorder="1" applyAlignment="1" applyProtection="1">
      <alignment horizontal="center" wrapText="1"/>
      <protection locked="0"/>
    </xf>
    <xf numFmtId="0" fontId="6" fillId="2" borderId="2" xfId="0" applyFont="1" applyFill="1" applyBorder="1" applyAlignment="1" applyProtection="1">
      <alignment horizontal="center" wrapText="1"/>
      <protection locked="0"/>
    </xf>
    <xf numFmtId="49" fontId="12" fillId="0" borderId="25" xfId="0" applyNumberFormat="1" applyFont="1" applyBorder="1" applyAlignment="1" applyProtection="1">
      <alignment horizontal="left" vertical="center" wrapText="1"/>
      <protection locked="0"/>
    </xf>
    <xf numFmtId="0" fontId="12" fillId="0" borderId="25" xfId="0" applyFont="1" applyBorder="1" applyAlignment="1" applyProtection="1">
      <alignment horizontal="left" vertical="center" wrapText="1"/>
      <protection locked="0"/>
    </xf>
    <xf numFmtId="164" fontId="12" fillId="0" borderId="25" xfId="0" applyNumberFormat="1" applyFont="1" applyBorder="1" applyAlignment="1" applyProtection="1">
      <alignment horizontal="left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12" fillId="0" borderId="18" xfId="0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2" fillId="0" borderId="30" xfId="0" applyFont="1" applyBorder="1" applyAlignment="1" applyProtection="1">
      <alignment horizontal="center" vertical="center" wrapText="1"/>
      <protection locked="0"/>
    </xf>
    <xf numFmtId="0" fontId="40" fillId="0" borderId="10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 wrapText="1"/>
    </xf>
    <xf numFmtId="0" fontId="45" fillId="0" borderId="20" xfId="0" applyFont="1" applyBorder="1" applyAlignment="1">
      <alignment horizontal="center" vertical="center"/>
    </xf>
    <xf numFmtId="0" fontId="45" fillId="0" borderId="36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49" fontId="45" fillId="0" borderId="0" xfId="0" applyNumberFormat="1" applyFont="1" applyAlignment="1">
      <alignment horizontal="left" vertical="center"/>
    </xf>
    <xf numFmtId="0" fontId="40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4" xfId="3" applyFont="1" applyFill="1" applyBorder="1" applyAlignment="1" applyProtection="1">
      <alignment horizontal="center" vertical="center"/>
      <protection locked="0"/>
    </xf>
    <xf numFmtId="49" fontId="3" fillId="0" borderId="4" xfId="3" applyNumberFormat="1" applyFont="1" applyBorder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center" vertical="center"/>
    </xf>
    <xf numFmtId="164" fontId="4" fillId="0" borderId="4" xfId="3" applyNumberFormat="1" applyFont="1" applyBorder="1" applyAlignment="1" applyProtection="1">
      <alignment horizontal="center" vertical="center"/>
      <protection locked="0"/>
    </xf>
    <xf numFmtId="10" fontId="12" fillId="9" borderId="40" xfId="2" applyNumberFormat="1" applyFont="1" applyFill="1" applyBorder="1" applyAlignment="1">
      <alignment horizontal="center" vertical="center" wrapText="1"/>
    </xf>
    <xf numFmtId="10" fontId="0" fillId="9" borderId="32" xfId="2" applyNumberFormat="1" applyFont="1" applyFill="1" applyBorder="1" applyAlignment="1">
      <alignment horizontal="center" vertical="center" wrapText="1"/>
    </xf>
    <xf numFmtId="10" fontId="0" fillId="9" borderId="40" xfId="2" applyNumberFormat="1" applyFont="1" applyFill="1" applyBorder="1" applyAlignment="1" applyProtection="1">
      <alignment horizontal="center" vertical="center" wrapText="1"/>
      <protection locked="0"/>
    </xf>
  </cellXfs>
  <cellStyles count="9">
    <cellStyle name="Normal" xfId="0" builtinId="0"/>
    <cellStyle name="Normal_Modelo Planilha Financeira" xfId="3" xr:uid="{00000000-0005-0000-0000-000001000000}"/>
    <cellStyle name="Nota 2" xfId="5" xr:uid="{00000000-0005-0000-0000-000002000000}"/>
    <cellStyle name="Porcentagem" xfId="2" builtinId="5"/>
    <cellStyle name="Porcentagem 8" xfId="4" xr:uid="{00000000-0005-0000-0000-000004000000}"/>
    <cellStyle name="Título" xfId="7" builtinId="15"/>
    <cellStyle name="Título 1" xfId="8" builtinId="16"/>
    <cellStyle name="Vírgula" xfId="1" builtinId="3"/>
    <cellStyle name="Vírgula 3" xfId="6" xr:uid="{00000000-0005-0000-0000-000008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showGridLines="0" zoomScale="80" zoomScaleNormal="80" zoomScalePageLayoutView="70" workbookViewId="0">
      <selection activeCell="A21" sqref="A21:K21"/>
    </sheetView>
  </sheetViews>
  <sheetFormatPr defaultColWidth="9.140625" defaultRowHeight="26.25"/>
  <cols>
    <col min="1" max="10" width="16.42578125" style="339" customWidth="1"/>
    <col min="11" max="11" width="20.28515625" style="339" customWidth="1"/>
    <col min="12" max="12" width="16.42578125" style="339" customWidth="1"/>
    <col min="13" max="13" width="17.5703125" style="339" customWidth="1"/>
    <col min="14" max="16384" width="9.140625" style="339"/>
  </cols>
  <sheetData>
    <row r="1" spans="1:17">
      <c r="A1" s="340"/>
      <c r="B1" s="341"/>
      <c r="C1" s="341"/>
      <c r="D1" s="341"/>
      <c r="E1" s="341"/>
      <c r="F1" s="341"/>
      <c r="G1" s="341"/>
      <c r="H1" s="341"/>
      <c r="I1" s="341"/>
      <c r="J1" s="341"/>
      <c r="K1" s="357"/>
    </row>
    <row r="2" spans="1:17" ht="22.5" customHeight="1">
      <c r="A2" s="342"/>
      <c r="B2" s="343"/>
      <c r="C2" s="343"/>
      <c r="D2" s="343"/>
      <c r="E2" s="343"/>
      <c r="F2" s="343"/>
      <c r="G2" s="343"/>
      <c r="H2" s="343"/>
      <c r="I2" s="343"/>
      <c r="J2" s="343"/>
      <c r="K2" s="358"/>
      <c r="L2" s="343"/>
      <c r="M2" s="343"/>
      <c r="N2" s="343"/>
      <c r="O2" s="359"/>
      <c r="P2" s="360"/>
      <c r="Q2" s="360"/>
    </row>
    <row r="3" spans="1:17" ht="31.5">
      <c r="A3" s="418" t="s">
        <v>0</v>
      </c>
      <c r="B3" s="419"/>
      <c r="C3" s="419"/>
      <c r="D3" s="420" t="s">
        <v>1</v>
      </c>
      <c r="E3" s="420"/>
      <c r="F3" s="420"/>
      <c r="G3" s="420"/>
      <c r="H3" s="420"/>
      <c r="I3" s="420"/>
      <c r="J3" s="420"/>
      <c r="K3" s="361"/>
    </row>
    <row r="4" spans="1:17" ht="22.5" customHeight="1">
      <c r="A4" s="344"/>
      <c r="B4" s="345"/>
      <c r="C4" s="345"/>
      <c r="D4" s="345"/>
      <c r="E4" s="345"/>
      <c r="F4" s="345"/>
      <c r="G4" s="345"/>
      <c r="H4" s="345"/>
      <c r="I4" s="345"/>
      <c r="J4" s="345"/>
      <c r="K4" s="361"/>
    </row>
    <row r="5" spans="1:17" ht="31.5">
      <c r="A5" s="418" t="s">
        <v>2</v>
      </c>
      <c r="B5" s="419"/>
      <c r="C5" s="419"/>
      <c r="D5" s="421" t="s">
        <v>3</v>
      </c>
      <c r="E5" s="420"/>
      <c r="F5" s="420"/>
      <c r="G5" s="420"/>
      <c r="H5" s="420"/>
      <c r="I5" s="420"/>
      <c r="J5" s="420"/>
      <c r="K5" s="361"/>
    </row>
    <row r="6" spans="1:17" ht="22.5" customHeight="1">
      <c r="A6" s="344"/>
      <c r="B6" s="346"/>
      <c r="C6" s="346"/>
      <c r="D6" s="346"/>
      <c r="E6" s="346"/>
      <c r="F6" s="346"/>
      <c r="G6" s="346"/>
      <c r="H6" s="346"/>
      <c r="I6" s="346"/>
      <c r="J6" s="346"/>
      <c r="K6" s="361"/>
    </row>
    <row r="7" spans="1:17" ht="22.5" customHeight="1">
      <c r="A7" s="344"/>
      <c r="B7" s="346"/>
      <c r="C7" s="346"/>
      <c r="D7" s="346"/>
      <c r="E7" s="346"/>
      <c r="F7" s="346"/>
      <c r="G7" s="346"/>
      <c r="H7" s="346"/>
      <c r="I7" s="346"/>
      <c r="J7" s="346"/>
      <c r="K7" s="361"/>
    </row>
    <row r="8" spans="1:17" ht="22.5" customHeight="1">
      <c r="A8" s="347"/>
      <c r="B8" s="348"/>
      <c r="C8" s="348"/>
      <c r="D8" s="348"/>
      <c r="E8" s="348"/>
      <c r="F8" s="348"/>
      <c r="G8" s="348"/>
      <c r="H8" s="348"/>
      <c r="I8" s="348"/>
      <c r="J8" s="348"/>
      <c r="K8" s="362"/>
      <c r="L8" s="363"/>
      <c r="M8" s="363"/>
      <c r="N8" s="363"/>
      <c r="O8" s="363"/>
      <c r="P8" s="363"/>
      <c r="Q8" s="363"/>
    </row>
    <row r="9" spans="1:17" ht="22.5" customHeight="1">
      <c r="A9" s="344"/>
      <c r="B9" s="346"/>
      <c r="C9" s="346"/>
      <c r="D9" s="346"/>
      <c r="E9" s="346"/>
      <c r="F9" s="346"/>
      <c r="G9" s="346"/>
      <c r="H9" s="346"/>
      <c r="I9" s="346"/>
      <c r="J9" s="346"/>
      <c r="K9" s="361"/>
    </row>
    <row r="10" spans="1:17" ht="22.5" customHeight="1">
      <c r="A10" s="344"/>
      <c r="B10" s="346"/>
      <c r="C10" s="346"/>
      <c r="D10" s="346"/>
      <c r="E10" s="346"/>
      <c r="F10" s="346"/>
      <c r="G10" s="346"/>
      <c r="H10" s="346"/>
      <c r="I10" s="346"/>
      <c r="J10" s="346"/>
      <c r="K10" s="361"/>
    </row>
    <row r="11" spans="1:17" ht="22.5" customHeight="1">
      <c r="A11" s="344"/>
      <c r="B11" s="346"/>
      <c r="C11" s="346"/>
      <c r="D11" s="346"/>
      <c r="E11" s="346"/>
      <c r="F11" s="346"/>
      <c r="G11" s="346"/>
      <c r="H11" s="346"/>
      <c r="I11" s="346"/>
      <c r="J11" s="346"/>
      <c r="K11" s="361"/>
    </row>
    <row r="12" spans="1:17" ht="22.5" customHeight="1">
      <c r="A12" s="344"/>
      <c r="B12" s="346"/>
      <c r="C12" s="346"/>
      <c r="D12" s="346"/>
      <c r="E12" s="346"/>
      <c r="F12" s="346"/>
      <c r="G12" s="346"/>
      <c r="H12" s="346"/>
      <c r="I12" s="346"/>
      <c r="J12" s="346"/>
      <c r="K12" s="361"/>
    </row>
    <row r="13" spans="1:17" ht="22.5" customHeight="1">
      <c r="A13" s="344"/>
      <c r="B13" s="417" t="s">
        <v>4</v>
      </c>
      <c r="C13" s="417"/>
      <c r="D13" s="417"/>
      <c r="E13" s="417"/>
      <c r="F13" s="417"/>
      <c r="G13" s="417"/>
      <c r="H13" s="417"/>
      <c r="I13" s="417"/>
      <c r="J13" s="417"/>
      <c r="K13" s="361"/>
    </row>
    <row r="14" spans="1:17" ht="22.5" customHeight="1">
      <c r="A14" s="344"/>
      <c r="B14" s="417"/>
      <c r="C14" s="417"/>
      <c r="D14" s="417"/>
      <c r="E14" s="417"/>
      <c r="F14" s="417"/>
      <c r="G14" s="417"/>
      <c r="H14" s="417"/>
      <c r="I14" s="417"/>
      <c r="J14" s="417"/>
      <c r="K14" s="361"/>
    </row>
    <row r="15" spans="1:17" ht="22.5" customHeight="1">
      <c r="A15" s="344"/>
      <c r="B15" s="417"/>
      <c r="C15" s="417"/>
      <c r="D15" s="417"/>
      <c r="E15" s="417"/>
      <c r="F15" s="417"/>
      <c r="G15" s="417"/>
      <c r="H15" s="417"/>
      <c r="I15" s="417"/>
      <c r="J15" s="417"/>
      <c r="K15" s="361"/>
    </row>
    <row r="16" spans="1:17" ht="22.5" customHeight="1">
      <c r="A16" s="344"/>
      <c r="B16" s="417"/>
      <c r="C16" s="417"/>
      <c r="D16" s="417"/>
      <c r="E16" s="417"/>
      <c r="F16" s="417"/>
      <c r="G16" s="417"/>
      <c r="H16" s="417"/>
      <c r="I16" s="417"/>
      <c r="J16" s="417"/>
      <c r="K16" s="361"/>
    </row>
    <row r="17" spans="1:11" ht="22.5" customHeight="1">
      <c r="A17" s="344"/>
      <c r="B17" s="417"/>
      <c r="C17" s="417"/>
      <c r="D17" s="417"/>
      <c r="E17" s="417"/>
      <c r="F17" s="417"/>
      <c r="G17" s="417"/>
      <c r="H17" s="417"/>
      <c r="I17" s="417"/>
      <c r="J17" s="417"/>
      <c r="K17" s="361"/>
    </row>
    <row r="18" spans="1:11" ht="22.5" customHeight="1">
      <c r="A18" s="344"/>
      <c r="B18" s="349"/>
      <c r="C18" s="349"/>
      <c r="D18" s="349"/>
      <c r="E18" s="349"/>
      <c r="F18" s="349"/>
      <c r="G18" s="349"/>
      <c r="H18" s="349"/>
      <c r="I18" s="349"/>
      <c r="J18" s="349"/>
      <c r="K18" s="361"/>
    </row>
    <row r="19" spans="1:11" ht="22.5" customHeight="1">
      <c r="A19" s="344"/>
      <c r="B19" s="349"/>
      <c r="C19" s="349"/>
      <c r="D19" s="349"/>
      <c r="E19" s="349"/>
      <c r="F19" s="349"/>
      <c r="G19" s="349"/>
      <c r="H19" s="349"/>
      <c r="I19" s="349"/>
      <c r="J19" s="349"/>
      <c r="K19" s="361"/>
    </row>
    <row r="20" spans="1:11" ht="22.5" customHeight="1">
      <c r="A20" s="350"/>
      <c r="K20" s="364"/>
    </row>
    <row r="21" spans="1:11">
      <c r="A21" s="422" t="s">
        <v>919</v>
      </c>
      <c r="B21" s="423"/>
      <c r="C21" s="423"/>
      <c r="D21" s="423"/>
      <c r="E21" s="423"/>
      <c r="F21" s="423"/>
      <c r="G21" s="423"/>
      <c r="H21" s="423"/>
      <c r="I21" s="423"/>
      <c r="J21" s="423"/>
      <c r="K21" s="424"/>
    </row>
    <row r="22" spans="1:11" ht="22.5" customHeight="1">
      <c r="A22" s="350"/>
      <c r="K22" s="364"/>
    </row>
    <row r="23" spans="1:11" ht="22.5" customHeight="1">
      <c r="A23" s="350"/>
      <c r="K23" s="364"/>
    </row>
    <row r="24" spans="1:11" ht="22.5" customHeight="1">
      <c r="A24" s="350"/>
      <c r="K24" s="364"/>
    </row>
    <row r="25" spans="1:11" ht="22.5" customHeight="1">
      <c r="A25" s="350"/>
      <c r="K25" s="364"/>
    </row>
    <row r="26" spans="1:11" ht="22.5" customHeight="1">
      <c r="A26" s="351"/>
      <c r="K26" s="364"/>
    </row>
    <row r="27" spans="1:11" ht="22.5" customHeight="1">
      <c r="A27" s="350"/>
      <c r="K27" s="364"/>
    </row>
    <row r="28" spans="1:11" ht="22.5" customHeight="1">
      <c r="A28" s="350"/>
      <c r="K28" s="364"/>
    </row>
    <row r="29" spans="1:11">
      <c r="A29" s="414" t="s">
        <v>920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6"/>
    </row>
    <row r="30" spans="1:11" ht="22.5" customHeight="1">
      <c r="A30" s="352"/>
      <c r="B30" s="353"/>
      <c r="C30" s="353"/>
      <c r="D30" s="353"/>
      <c r="E30" s="353"/>
      <c r="F30" s="353"/>
      <c r="G30" s="353"/>
      <c r="H30" s="353"/>
      <c r="I30" s="353"/>
      <c r="J30" s="353"/>
      <c r="K30" s="365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38" customFormat="1" ht="22.5" customHeight="1"/>
    <row r="45" spans="1:1" ht="22.5" customHeight="1">
      <c r="A45" s="354"/>
    </row>
    <row r="46" spans="1:1" ht="22.5" customHeight="1">
      <c r="A46" s="355"/>
    </row>
    <row r="47" spans="1:1" ht="22.5" customHeight="1">
      <c r="A47" s="356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BreakPreview" zoomScale="90" zoomScaleNormal="100" workbookViewId="0">
      <selection activeCell="C42" sqref="C42"/>
    </sheetView>
  </sheetViews>
  <sheetFormatPr defaultColWidth="9.140625" defaultRowHeight="15"/>
  <cols>
    <col min="1" max="1" width="28.42578125" style="323" customWidth="1"/>
    <col min="2" max="5" width="15.42578125" style="323" customWidth="1"/>
    <col min="6" max="16384" width="9.140625" style="323"/>
  </cols>
  <sheetData>
    <row r="1" spans="1:6" ht="21.95" customHeight="1">
      <c r="A1" s="425" t="s">
        <v>5</v>
      </c>
      <c r="B1" s="426"/>
      <c r="C1" s="426"/>
      <c r="D1" s="426"/>
      <c r="E1" s="426"/>
      <c r="F1" s="426"/>
    </row>
    <row r="2" spans="1:6">
      <c r="A2" s="206"/>
      <c r="B2" s="203"/>
      <c r="C2" s="203"/>
      <c r="D2" s="203"/>
      <c r="E2" s="203"/>
      <c r="F2" s="203"/>
    </row>
    <row r="3" spans="1:6">
      <c r="A3" s="207" t="s">
        <v>6</v>
      </c>
      <c r="B3" s="269" t="s">
        <v>3</v>
      </c>
      <c r="C3" s="269"/>
      <c r="D3" s="269"/>
      <c r="E3" s="270"/>
      <c r="F3" s="270"/>
    </row>
    <row r="4" spans="1:6">
      <c r="A4" s="207" t="s">
        <v>7</v>
      </c>
      <c r="B4" s="295">
        <v>46113</v>
      </c>
      <c r="C4" s="270"/>
      <c r="D4" s="270"/>
      <c r="E4" s="270"/>
      <c r="F4" s="270"/>
    </row>
    <row r="5" spans="1:6">
      <c r="A5" s="245"/>
      <c r="C5" s="203"/>
      <c r="D5" s="203"/>
      <c r="E5" s="203"/>
      <c r="F5" s="203"/>
    </row>
    <row r="6" spans="1:6">
      <c r="A6" s="427" t="s">
        <v>8</v>
      </c>
      <c r="B6" s="428"/>
      <c r="C6" s="428"/>
      <c r="D6" s="428"/>
      <c r="E6" s="429"/>
    </row>
    <row r="7" spans="1:6" ht="27" customHeight="1">
      <c r="A7" s="324" t="s">
        <v>9</v>
      </c>
      <c r="B7" s="325" t="s">
        <v>10</v>
      </c>
      <c r="C7" s="325" t="s">
        <v>11</v>
      </c>
      <c r="D7" s="325" t="s">
        <v>12</v>
      </c>
      <c r="E7" s="326" t="s">
        <v>13</v>
      </c>
    </row>
    <row r="8" spans="1:6" ht="21" customHeight="1">
      <c r="A8" s="327" t="str">
        <f>Assistencial!A8</f>
        <v>1. Clínica Cirúrgica</v>
      </c>
      <c r="B8" s="223">
        <v>35</v>
      </c>
      <c r="C8" s="223">
        <v>0</v>
      </c>
      <c r="D8" s="223">
        <v>0</v>
      </c>
      <c r="E8" s="328">
        <v>0</v>
      </c>
    </row>
    <row r="9" spans="1:6" ht="21" customHeight="1">
      <c r="A9" s="327" t="str">
        <f>Assistencial!A9</f>
        <v>2. Clínica Médica</v>
      </c>
      <c r="B9" s="223">
        <v>34</v>
      </c>
      <c r="C9" s="223">
        <v>0</v>
      </c>
      <c r="D9" s="223">
        <v>0</v>
      </c>
      <c r="E9" s="328">
        <v>0</v>
      </c>
    </row>
    <row r="10" spans="1:6" ht="21" customHeight="1">
      <c r="A10" s="327" t="str">
        <f>Assistencial!A10</f>
        <v>3. Oncologia Clínica</v>
      </c>
      <c r="B10" s="223">
        <v>0</v>
      </c>
      <c r="C10" s="223">
        <v>0</v>
      </c>
      <c r="D10" s="223">
        <v>0</v>
      </c>
      <c r="E10" s="328">
        <v>0</v>
      </c>
    </row>
    <row r="11" spans="1:6" ht="21" customHeight="1">
      <c r="A11" s="327" t="str">
        <f>Assistencial!A11</f>
        <v>4. Oncologia Cirúrgica</v>
      </c>
      <c r="B11" s="223">
        <v>0</v>
      </c>
      <c r="C11" s="223">
        <v>0</v>
      </c>
      <c r="D11" s="223">
        <v>0</v>
      </c>
      <c r="E11" s="328">
        <v>0</v>
      </c>
    </row>
    <row r="12" spans="1:6" ht="21" customHeight="1">
      <c r="A12" s="327" t="str">
        <f>Assistencial!A12</f>
        <v>5. Clínica Gineco/Obstétrica</v>
      </c>
      <c r="B12" s="223">
        <v>7</v>
      </c>
      <c r="C12" s="223">
        <v>0</v>
      </c>
      <c r="D12" s="223">
        <v>0</v>
      </c>
      <c r="E12" s="328">
        <v>0</v>
      </c>
    </row>
    <row r="13" spans="1:6" ht="21" customHeight="1">
      <c r="A13" s="327" t="str">
        <f>Assistencial!A13</f>
        <v>6. Clínica Pediátrica</v>
      </c>
      <c r="B13" s="204">
        <v>6</v>
      </c>
      <c r="C13" s="204">
        <v>0</v>
      </c>
      <c r="D13" s="204">
        <v>0</v>
      </c>
      <c r="E13" s="232">
        <v>0</v>
      </c>
    </row>
    <row r="14" spans="1:6">
      <c r="A14" s="327" t="str">
        <f>Assistencial!A14</f>
        <v>7. UTI Adulto</v>
      </c>
      <c r="B14" s="204">
        <v>10</v>
      </c>
      <c r="C14" s="204">
        <v>0</v>
      </c>
      <c r="D14" s="204">
        <v>0</v>
      </c>
      <c r="E14" s="232">
        <v>0</v>
      </c>
    </row>
    <row r="15" spans="1:6">
      <c r="A15" s="329" t="s">
        <v>14</v>
      </c>
      <c r="B15" s="330">
        <f>SUM(B8:B14)</f>
        <v>92</v>
      </c>
      <c r="C15" s="330">
        <f>SUM(C8:C14)</f>
        <v>0</v>
      </c>
      <c r="D15" s="330">
        <f>SUM(D8:D14)</f>
        <v>0</v>
      </c>
      <c r="E15" s="330">
        <f>SUM(E8:E14)</f>
        <v>0</v>
      </c>
    </row>
    <row r="16" spans="1:6">
      <c r="A16" s="245"/>
    </row>
    <row r="17" spans="1:3">
      <c r="A17" s="245"/>
    </row>
    <row r="18" spans="1:3">
      <c r="A18" s="430" t="s">
        <v>15</v>
      </c>
      <c r="B18" s="431"/>
      <c r="C18" s="432"/>
    </row>
    <row r="19" spans="1:3">
      <c r="A19" s="433" t="s">
        <v>16</v>
      </c>
      <c r="B19" s="434"/>
      <c r="C19" s="331"/>
    </row>
    <row r="20" spans="1:3">
      <c r="A20" s="435" t="s">
        <v>17</v>
      </c>
      <c r="B20" s="436"/>
      <c r="C20" s="332">
        <v>10</v>
      </c>
    </row>
    <row r="21" spans="1:3">
      <c r="A21" s="433" t="s">
        <v>18</v>
      </c>
      <c r="B21" s="434"/>
      <c r="C21" s="331"/>
    </row>
    <row r="22" spans="1:3">
      <c r="A22" s="435" t="s">
        <v>19</v>
      </c>
      <c r="B22" s="436"/>
      <c r="C22" s="332">
        <v>1</v>
      </c>
    </row>
    <row r="23" spans="1:3">
      <c r="A23" s="437" t="s">
        <v>20</v>
      </c>
      <c r="B23" s="438"/>
      <c r="C23" s="332">
        <v>17</v>
      </c>
    </row>
    <row r="24" spans="1:3">
      <c r="A24" s="437" t="s">
        <v>21</v>
      </c>
      <c r="B24" s="438"/>
      <c r="C24" s="332">
        <v>1</v>
      </c>
    </row>
    <row r="25" spans="1:3">
      <c r="A25" s="437" t="s">
        <v>22</v>
      </c>
      <c r="B25" s="438"/>
      <c r="C25" s="332">
        <v>2</v>
      </c>
    </row>
    <row r="26" spans="1:3">
      <c r="A26" s="437" t="s">
        <v>23</v>
      </c>
      <c r="B26" s="438"/>
      <c r="C26" s="332">
        <v>2</v>
      </c>
    </row>
    <row r="27" spans="1:3">
      <c r="A27" s="437" t="s">
        <v>24</v>
      </c>
      <c r="B27" s="438"/>
      <c r="C27" s="332">
        <v>1</v>
      </c>
    </row>
    <row r="28" spans="1:3">
      <c r="A28" s="437" t="s">
        <v>25</v>
      </c>
      <c r="B28" s="438"/>
      <c r="C28" s="332">
        <v>10</v>
      </c>
    </row>
    <row r="29" spans="1:3">
      <c r="A29" s="437" t="s">
        <v>26</v>
      </c>
      <c r="B29" s="438"/>
      <c r="C29" s="332">
        <v>1</v>
      </c>
    </row>
    <row r="30" spans="1:3">
      <c r="A30" s="433" t="s">
        <v>27</v>
      </c>
      <c r="B30" s="434"/>
      <c r="C30" s="331"/>
    </row>
    <row r="31" spans="1:3">
      <c r="A31" s="437" t="s">
        <v>28</v>
      </c>
      <c r="B31" s="438"/>
      <c r="C31" s="332">
        <v>2</v>
      </c>
    </row>
    <row r="32" spans="1:3">
      <c r="A32" s="437" t="s">
        <v>29</v>
      </c>
      <c r="B32" s="438"/>
      <c r="C32" s="332">
        <v>20</v>
      </c>
    </row>
    <row r="33" spans="1:6">
      <c r="A33" s="437" t="s">
        <v>30</v>
      </c>
      <c r="B33" s="438"/>
      <c r="C33" s="332">
        <v>3</v>
      </c>
    </row>
    <row r="34" spans="1:6">
      <c r="A34" s="437" t="s">
        <v>31</v>
      </c>
      <c r="B34" s="438"/>
      <c r="C34" s="332">
        <v>2</v>
      </c>
    </row>
    <row r="35" spans="1:6">
      <c r="A35" s="437" t="s">
        <v>32</v>
      </c>
      <c r="B35" s="438"/>
      <c r="C35" s="332">
        <v>2</v>
      </c>
    </row>
    <row r="36" spans="1:6">
      <c r="A36" s="437" t="s">
        <v>33</v>
      </c>
      <c r="B36" s="438"/>
      <c r="C36" s="332">
        <v>5</v>
      </c>
    </row>
    <row r="37" spans="1:6">
      <c r="A37" s="433" t="s">
        <v>34</v>
      </c>
      <c r="B37" s="434"/>
      <c r="C37" s="331"/>
    </row>
    <row r="38" spans="1:6">
      <c r="A38" s="437" t="s">
        <v>35</v>
      </c>
      <c r="B38" s="438"/>
      <c r="C38" s="333">
        <v>5</v>
      </c>
    </row>
    <row r="39" spans="1:6">
      <c r="A39" s="437" t="s">
        <v>36</v>
      </c>
      <c r="B39" s="438"/>
      <c r="C39" s="333">
        <v>2</v>
      </c>
    </row>
    <row r="40" spans="1:6">
      <c r="A40" s="433" t="s">
        <v>37</v>
      </c>
      <c r="B40" s="434"/>
      <c r="C40" s="331"/>
    </row>
    <row r="41" spans="1:6">
      <c r="A41" s="437" t="s">
        <v>38</v>
      </c>
      <c r="B41" s="438"/>
      <c r="C41" s="333">
        <v>6</v>
      </c>
    </row>
    <row r="42" spans="1:6">
      <c r="A42" s="439" t="s">
        <v>39</v>
      </c>
      <c r="B42" s="440"/>
      <c r="C42" s="334">
        <f>SUM(C19:C41)</f>
        <v>92</v>
      </c>
    </row>
    <row r="43" spans="1:6">
      <c r="A43" s="245"/>
      <c r="C43" s="335" t="str">
        <f>IF(C42+C15+D15+E15=B15,"ok","rever")</f>
        <v>ok</v>
      </c>
    </row>
    <row r="44" spans="1:6">
      <c r="A44" s="336"/>
      <c r="B44" s="337"/>
      <c r="C44" s="337"/>
      <c r="D44" s="337"/>
      <c r="E44" s="337"/>
      <c r="F44" s="337"/>
    </row>
  </sheetData>
  <mergeCells count="27">
    <mergeCell ref="A41:B41"/>
    <mergeCell ref="A42:B42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:F1"/>
    <mergeCell ref="A6:E6"/>
    <mergeCell ref="A18:C18"/>
    <mergeCell ref="A19:B19"/>
    <mergeCell ref="A20:B2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B5" sqref="B5"/>
    </sheetView>
  </sheetViews>
  <sheetFormatPr defaultColWidth="28" defaultRowHeight="22.5" customHeight="1"/>
  <cols>
    <col min="1" max="1" width="26.7109375" style="203" customWidth="1"/>
    <col min="2" max="2" width="13.28515625" style="203" customWidth="1"/>
    <col min="3" max="3" width="14.7109375" style="203" customWidth="1"/>
    <col min="4" max="4" width="14.85546875" style="203" customWidth="1"/>
    <col min="5" max="5" width="28" style="203" customWidth="1"/>
    <col min="6" max="16384" width="28" style="203"/>
  </cols>
  <sheetData>
    <row r="1" spans="1:17" ht="22.5" customHeight="1">
      <c r="A1" s="425" t="s">
        <v>40</v>
      </c>
      <c r="B1" s="426"/>
      <c r="C1" s="426"/>
      <c r="D1" s="426"/>
      <c r="E1" s="426"/>
      <c r="F1" s="446"/>
      <c r="G1" s="205"/>
      <c r="H1" s="205"/>
      <c r="I1" s="205"/>
      <c r="J1" s="205"/>
      <c r="K1" s="205"/>
      <c r="L1" s="205"/>
      <c r="M1" s="205"/>
      <c r="N1" s="205"/>
      <c r="O1" s="240"/>
      <c r="P1" s="241"/>
      <c r="Q1" s="241"/>
    </row>
    <row r="2" spans="1:17" ht="22.5" customHeight="1">
      <c r="A2" s="206"/>
      <c r="F2" s="281"/>
    </row>
    <row r="3" spans="1:17" ht="22.5" customHeight="1">
      <c r="A3" s="207" t="s">
        <v>6</v>
      </c>
      <c r="B3" s="447" t="s">
        <v>3</v>
      </c>
      <c r="C3" s="447"/>
      <c r="D3" s="447"/>
      <c r="E3" s="447"/>
      <c r="F3" s="281"/>
    </row>
    <row r="4" spans="1:17" ht="22.5" customHeight="1">
      <c r="A4" s="207" t="s">
        <v>7</v>
      </c>
      <c r="B4" s="448">
        <v>46113</v>
      </c>
      <c r="C4" s="448"/>
      <c r="D4" s="448"/>
      <c r="E4" s="448"/>
      <c r="F4" s="281"/>
    </row>
    <row r="5" spans="1:17" ht="22.5" customHeight="1">
      <c r="A5" s="206"/>
      <c r="F5" s="281"/>
    </row>
    <row r="6" spans="1:17" ht="22.5" customHeight="1">
      <c r="A6" s="449" t="s">
        <v>41</v>
      </c>
      <c r="B6" s="450"/>
      <c r="C6" s="450"/>
      <c r="D6" s="450"/>
      <c r="E6" s="450"/>
      <c r="F6" s="451"/>
    </row>
    <row r="7" spans="1:17" ht="22.5" customHeight="1">
      <c r="A7" s="452"/>
      <c r="B7" s="453"/>
      <c r="C7" s="453"/>
      <c r="D7" s="453"/>
      <c r="F7" s="319" t="s">
        <v>42</v>
      </c>
    </row>
    <row r="8" spans="1:17" ht="22.5" customHeight="1">
      <c r="A8" s="441" t="s">
        <v>43</v>
      </c>
      <c r="B8" s="442"/>
      <c r="C8" s="442"/>
      <c r="D8" s="442"/>
      <c r="E8" s="442"/>
      <c r="F8" s="320">
        <v>2535</v>
      </c>
    </row>
    <row r="9" spans="1:17" ht="22.5" customHeight="1">
      <c r="A9" s="441" t="s">
        <v>44</v>
      </c>
      <c r="B9" s="442"/>
      <c r="C9" s="442"/>
      <c r="D9" s="442"/>
      <c r="E9" s="442"/>
      <c r="F9" s="232">
        <v>363</v>
      </c>
    </row>
    <row r="10" spans="1:17" ht="22.5" customHeight="1">
      <c r="A10" s="443" t="s">
        <v>14</v>
      </c>
      <c r="B10" s="444"/>
      <c r="C10" s="444"/>
      <c r="D10" s="444"/>
      <c r="E10" s="321"/>
      <c r="F10" s="249">
        <f>SUM(F8:F9)</f>
        <v>2898</v>
      </c>
    </row>
    <row r="11" spans="1:17" ht="50.1" customHeight="1">
      <c r="A11" s="441" t="s">
        <v>45</v>
      </c>
      <c r="B11" s="442"/>
      <c r="C11" s="442"/>
      <c r="D11" s="442"/>
      <c r="E11" s="442"/>
      <c r="F11" s="445"/>
    </row>
    <row r="12" spans="1:17" ht="22.5" customHeight="1">
      <c r="A12" s="206"/>
      <c r="F12" s="281"/>
    </row>
    <row r="13" spans="1:17" ht="22.5" customHeight="1">
      <c r="A13" s="206"/>
      <c r="F13" s="281"/>
    </row>
    <row r="14" spans="1:17" ht="22.5" customHeight="1">
      <c r="A14" s="206"/>
      <c r="F14" s="281"/>
    </row>
    <row r="15" spans="1:17" ht="22.5" customHeight="1">
      <c r="A15" s="206"/>
      <c r="F15" s="281"/>
    </row>
    <row r="16" spans="1:17" ht="22.5" customHeight="1">
      <c r="A16" s="206"/>
      <c r="F16" s="281"/>
    </row>
    <row r="17" spans="1:6" ht="22.5" customHeight="1">
      <c r="A17" s="206"/>
      <c r="F17" s="281"/>
    </row>
    <row r="18" spans="1:6" ht="22.5" customHeight="1">
      <c r="A18" s="322"/>
      <c r="B18" s="321"/>
      <c r="C18" s="321"/>
      <c r="D18" s="321"/>
      <c r="E18" s="321"/>
      <c r="F18" s="283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view="pageLayout" topLeftCell="A7" zoomScale="90" zoomScaleNormal="100" zoomScaleSheetLayoutView="90" zoomScalePageLayoutView="90" workbookViewId="0">
      <selection activeCell="A28" sqref="A28:XFD28"/>
    </sheetView>
  </sheetViews>
  <sheetFormatPr defaultColWidth="28" defaultRowHeight="15"/>
  <cols>
    <col min="1" max="1" width="26.7109375" style="203" customWidth="1"/>
    <col min="2" max="2" width="13.28515625" style="203" customWidth="1"/>
    <col min="3" max="3" width="14.7109375" style="203" customWidth="1"/>
    <col min="4" max="4" width="19.28515625" style="203" customWidth="1"/>
    <col min="5" max="5" width="21" style="203" customWidth="1"/>
    <col min="6" max="6" width="19" style="203" customWidth="1"/>
    <col min="7" max="8" width="22.85546875" style="203" customWidth="1"/>
    <col min="9" max="9" width="19" style="203" customWidth="1"/>
    <col min="10" max="10" width="28" style="203" customWidth="1"/>
    <col min="11" max="16384" width="28" style="203"/>
  </cols>
  <sheetData>
    <row r="1" spans="1:22">
      <c r="A1" s="425" t="s">
        <v>5</v>
      </c>
      <c r="B1" s="426"/>
      <c r="C1" s="426"/>
      <c r="D1" s="426"/>
      <c r="E1" s="426"/>
      <c r="F1" s="426"/>
      <c r="G1" s="426"/>
      <c r="H1" s="426"/>
      <c r="I1" s="446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40"/>
      <c r="U1" s="241"/>
      <c r="V1" s="241"/>
    </row>
    <row r="2" spans="1:22">
      <c r="A2" s="206"/>
      <c r="I2" s="281"/>
    </row>
    <row r="3" spans="1:22">
      <c r="A3" s="207" t="s">
        <v>6</v>
      </c>
      <c r="B3" s="269" t="s">
        <v>3</v>
      </c>
      <c r="C3" s="269"/>
      <c r="D3" s="269"/>
      <c r="E3" s="270"/>
      <c r="F3" s="270"/>
      <c r="G3" s="293" t="s">
        <v>46</v>
      </c>
      <c r="H3" s="294">
        <v>6683134</v>
      </c>
      <c r="I3" s="281"/>
    </row>
    <row r="4" spans="1:22" ht="18" customHeight="1">
      <c r="A4" s="207" t="s">
        <v>7</v>
      </c>
      <c r="B4" s="295">
        <v>46113</v>
      </c>
      <c r="I4" s="281"/>
    </row>
    <row r="5" spans="1:22">
      <c r="A5" s="206"/>
      <c r="I5" s="281"/>
    </row>
    <row r="6" spans="1:22" ht="21" customHeight="1">
      <c r="A6" s="458" t="s">
        <v>47</v>
      </c>
      <c r="B6" s="459"/>
      <c r="C6" s="459"/>
      <c r="D6" s="459"/>
      <c r="E6" s="459"/>
      <c r="F6" s="459"/>
      <c r="G6" s="459"/>
      <c r="H6" s="459"/>
      <c r="I6" s="460"/>
    </row>
    <row r="7" spans="1:22" ht="30">
      <c r="A7" s="296" t="s">
        <v>9</v>
      </c>
      <c r="B7" s="297" t="s">
        <v>48</v>
      </c>
      <c r="C7" s="297" t="s">
        <v>49</v>
      </c>
      <c r="D7" s="297" t="s">
        <v>50</v>
      </c>
      <c r="E7" s="297" t="s">
        <v>51</v>
      </c>
      <c r="F7" s="297" t="s">
        <v>52</v>
      </c>
      <c r="G7" s="297" t="s">
        <v>53</v>
      </c>
      <c r="H7" s="297" t="s">
        <v>54</v>
      </c>
      <c r="I7" s="302" t="s">
        <v>55</v>
      </c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</row>
    <row r="8" spans="1:22">
      <c r="A8" s="277" t="s">
        <v>56</v>
      </c>
      <c r="B8" s="223">
        <f>216-C8-D8-E8</f>
        <v>208</v>
      </c>
      <c r="C8" s="223">
        <v>7</v>
      </c>
      <c r="D8" s="223">
        <v>0</v>
      </c>
      <c r="E8" s="223">
        <v>1</v>
      </c>
      <c r="F8" s="298">
        <f>SUM(B8:E8)</f>
        <v>216</v>
      </c>
      <c r="G8" s="282" t="s">
        <v>57</v>
      </c>
      <c r="H8" s="276">
        <v>780</v>
      </c>
      <c r="I8" s="318">
        <v>644</v>
      </c>
    </row>
    <row r="9" spans="1:22">
      <c r="A9" s="277" t="s">
        <v>58</v>
      </c>
      <c r="B9" s="223">
        <f>210-C9-D9-E9</f>
        <v>172</v>
      </c>
      <c r="C9" s="223">
        <v>29</v>
      </c>
      <c r="D9" s="223">
        <v>7</v>
      </c>
      <c r="E9" s="223">
        <v>2</v>
      </c>
      <c r="F9" s="298">
        <f t="shared" ref="F9:F13" si="0">SUM(B9:E9)</f>
        <v>210</v>
      </c>
      <c r="G9" s="282" t="s">
        <v>57</v>
      </c>
      <c r="H9" s="276">
        <v>840</v>
      </c>
      <c r="I9" s="318">
        <v>795</v>
      </c>
    </row>
    <row r="10" spans="1:22">
      <c r="A10" s="277" t="s">
        <v>59</v>
      </c>
      <c r="B10" s="223">
        <f>11-C10-D10-E10</f>
        <v>2</v>
      </c>
      <c r="C10" s="223">
        <v>0</v>
      </c>
      <c r="D10" s="223">
        <v>0</v>
      </c>
      <c r="E10" s="223">
        <v>9</v>
      </c>
      <c r="F10" s="298">
        <f t="shared" si="0"/>
        <v>11</v>
      </c>
      <c r="G10" s="282" t="s">
        <v>57</v>
      </c>
      <c r="H10" s="276">
        <v>142</v>
      </c>
      <c r="I10" s="318">
        <v>102</v>
      </c>
    </row>
    <row r="11" spans="1:22">
      <c r="A11" s="277" t="s">
        <v>60</v>
      </c>
      <c r="B11" s="223">
        <f>80-C11-D11-E11</f>
        <v>80</v>
      </c>
      <c r="C11" s="223">
        <v>0</v>
      </c>
      <c r="D11" s="223">
        <v>0</v>
      </c>
      <c r="E11" s="223">
        <v>0</v>
      </c>
      <c r="F11" s="298">
        <f t="shared" si="0"/>
        <v>80</v>
      </c>
      <c r="G11" s="282" t="s">
        <v>57</v>
      </c>
      <c r="H11" s="276">
        <v>310</v>
      </c>
      <c r="I11" s="318">
        <v>225</v>
      </c>
    </row>
    <row r="12" spans="1:22">
      <c r="A12" s="277" t="s">
        <v>61</v>
      </c>
      <c r="B12" s="223">
        <f>87-C12-D12-E12</f>
        <v>85</v>
      </c>
      <c r="C12" s="223">
        <v>2</v>
      </c>
      <c r="D12" s="223">
        <v>0</v>
      </c>
      <c r="E12" s="223">
        <v>0</v>
      </c>
      <c r="F12" s="298">
        <f t="shared" si="0"/>
        <v>87</v>
      </c>
      <c r="G12" s="282" t="s">
        <v>57</v>
      </c>
      <c r="H12" s="276">
        <v>270</v>
      </c>
      <c r="I12" s="318">
        <v>182</v>
      </c>
    </row>
    <row r="13" spans="1:22">
      <c r="A13" s="277" t="s">
        <v>62</v>
      </c>
      <c r="B13" s="223">
        <f>40-C13-D13-E13</f>
        <v>37</v>
      </c>
      <c r="C13" s="223">
        <v>2</v>
      </c>
      <c r="D13" s="223">
        <v>0</v>
      </c>
      <c r="E13" s="223">
        <v>1</v>
      </c>
      <c r="F13" s="298">
        <f t="shared" si="0"/>
        <v>40</v>
      </c>
      <c r="G13" s="282" t="s">
        <v>57</v>
      </c>
      <c r="H13" s="276">
        <v>180</v>
      </c>
      <c r="I13" s="318">
        <v>143</v>
      </c>
    </row>
    <row r="14" spans="1:22">
      <c r="A14" s="296" t="s">
        <v>63</v>
      </c>
      <c r="B14" s="299" t="s">
        <v>57</v>
      </c>
      <c r="C14" s="297">
        <v>0</v>
      </c>
      <c r="D14" s="297">
        <v>1</v>
      </c>
      <c r="E14" s="297">
        <v>7</v>
      </c>
      <c r="F14" s="300">
        <f>SUM(B14:E14)</f>
        <v>8</v>
      </c>
      <c r="G14" s="297">
        <v>39</v>
      </c>
      <c r="H14" s="297">
        <v>300</v>
      </c>
      <c r="I14" s="302">
        <v>281</v>
      </c>
    </row>
    <row r="15" spans="1:22">
      <c r="A15" s="247" t="s">
        <v>14</v>
      </c>
      <c r="B15" s="279">
        <f>SUM(B8:B13)</f>
        <v>584</v>
      </c>
      <c r="C15" s="279">
        <f>SUM(C8:C14)</f>
        <v>40</v>
      </c>
      <c r="D15" s="279">
        <f>SUM(D8:D14)</f>
        <v>8</v>
      </c>
      <c r="E15" s="279">
        <f>SUM(E8:E14)</f>
        <v>20</v>
      </c>
      <c r="F15" s="279">
        <f>SUM(F8:F14)</f>
        <v>652</v>
      </c>
      <c r="G15" s="279"/>
      <c r="H15" s="279">
        <f>SUM(H8:H14)</f>
        <v>2822</v>
      </c>
      <c r="I15" s="280">
        <f>SUM(I8:I14)</f>
        <v>2372</v>
      </c>
    </row>
    <row r="16" spans="1:22" ht="41.1" customHeight="1">
      <c r="A16" s="461" t="s">
        <v>64</v>
      </c>
      <c r="B16" s="462"/>
      <c r="C16" s="462"/>
      <c r="D16" s="462"/>
      <c r="E16" s="462"/>
      <c r="F16" s="462"/>
      <c r="G16" s="462"/>
      <c r="H16" s="462"/>
      <c r="I16" s="463"/>
    </row>
    <row r="17" spans="1:9" ht="44.1" customHeight="1">
      <c r="A17" s="464" t="s">
        <v>65</v>
      </c>
      <c r="B17" s="465"/>
      <c r="D17" s="464" t="s">
        <v>66</v>
      </c>
      <c r="E17" s="465"/>
      <c r="G17"/>
      <c r="H17"/>
      <c r="I17" s="281"/>
    </row>
    <row r="18" spans="1:9">
      <c r="A18" s="301" t="s">
        <v>9</v>
      </c>
      <c r="B18" s="302" t="s">
        <v>67</v>
      </c>
      <c r="D18" s="301" t="s">
        <v>9</v>
      </c>
      <c r="E18" s="302" t="s">
        <v>68</v>
      </c>
      <c r="G18"/>
      <c r="H18"/>
      <c r="I18" s="281"/>
    </row>
    <row r="19" spans="1:9" ht="21" customHeight="1">
      <c r="A19" s="277" t="str">
        <f t="shared" ref="A19:A24" si="1">A8</f>
        <v>1. Clínica Cirúrgica</v>
      </c>
      <c r="B19" s="271">
        <v>3</v>
      </c>
      <c r="D19" s="277" t="str">
        <f t="shared" ref="D19:D24" si="2">A19</f>
        <v>1. Clínica Cirúrgica</v>
      </c>
      <c r="E19" s="271">
        <v>11</v>
      </c>
      <c r="G19"/>
      <c r="H19"/>
      <c r="I19" s="281"/>
    </row>
    <row r="20" spans="1:9">
      <c r="A20" s="277" t="str">
        <f t="shared" si="1"/>
        <v>2. Clínica Médica</v>
      </c>
      <c r="B20" s="232">
        <v>5</v>
      </c>
      <c r="D20" s="277" t="str">
        <f t="shared" si="2"/>
        <v>2. Clínica Médica</v>
      </c>
      <c r="E20" s="232">
        <v>24</v>
      </c>
      <c r="G20"/>
      <c r="H20"/>
      <c r="I20" s="281"/>
    </row>
    <row r="21" spans="1:9">
      <c r="A21" s="277" t="str">
        <f t="shared" si="1"/>
        <v>3. Oncologia Clínica</v>
      </c>
      <c r="B21" s="232">
        <v>0</v>
      </c>
      <c r="D21" s="277" t="str">
        <f t="shared" si="2"/>
        <v>3. Oncologia Clínica</v>
      </c>
      <c r="E21" s="232">
        <v>0</v>
      </c>
      <c r="G21"/>
      <c r="H21"/>
      <c r="I21" s="281"/>
    </row>
    <row r="22" spans="1:9" ht="30">
      <c r="A22" s="277" t="str">
        <f t="shared" si="1"/>
        <v>4. Oncologia Cirúrgica</v>
      </c>
      <c r="B22" s="232">
        <v>0</v>
      </c>
      <c r="D22" s="277" t="str">
        <f t="shared" si="2"/>
        <v>4. Oncologia Cirúrgica</v>
      </c>
      <c r="E22" s="232">
        <v>4</v>
      </c>
      <c r="G22"/>
      <c r="H22"/>
      <c r="I22" s="281"/>
    </row>
    <row r="23" spans="1:9" ht="30">
      <c r="A23" s="277" t="str">
        <f t="shared" si="1"/>
        <v>5. Clínica Gineco/Obstétrica</v>
      </c>
      <c r="B23" s="232">
        <v>0</v>
      </c>
      <c r="D23" s="277" t="str">
        <f t="shared" si="2"/>
        <v>5. Clínica Gineco/Obstétrica</v>
      </c>
      <c r="E23" s="232">
        <v>0</v>
      </c>
      <c r="G23"/>
      <c r="H23"/>
      <c r="I23" s="281"/>
    </row>
    <row r="24" spans="1:9">
      <c r="A24" s="277" t="str">
        <f t="shared" si="1"/>
        <v>6. Clínica Pediátrica</v>
      </c>
      <c r="B24" s="232">
        <v>0</v>
      </c>
      <c r="D24" s="277" t="str">
        <f t="shared" si="2"/>
        <v>6. Clínica Pediátrica</v>
      </c>
      <c r="E24" s="232">
        <v>0</v>
      </c>
      <c r="G24"/>
      <c r="H24"/>
      <c r="I24" s="281"/>
    </row>
    <row r="25" spans="1:9">
      <c r="A25" s="277" t="s">
        <v>69</v>
      </c>
      <c r="B25" s="232">
        <v>0</v>
      </c>
      <c r="D25" s="247" t="s">
        <v>14</v>
      </c>
      <c r="E25" s="249">
        <f>SUM(E19:E24)</f>
        <v>39</v>
      </c>
      <c r="G25"/>
      <c r="H25"/>
      <c r="I25" s="281"/>
    </row>
    <row r="26" spans="1:9" ht="18" customHeight="1">
      <c r="A26" s="247" t="s">
        <v>14</v>
      </c>
      <c r="B26" s="249">
        <f>SUM(B19:B25)</f>
        <v>8</v>
      </c>
      <c r="E26" s="303" t="str">
        <f>IF(E25=G14,"OK","REVER")</f>
        <v>OK</v>
      </c>
      <c r="G26"/>
      <c r="H26"/>
      <c r="I26" s="281"/>
    </row>
    <row r="27" spans="1:9">
      <c r="A27" s="206"/>
      <c r="B27" s="303" t="str">
        <f>IF(B26=F14,"OK","REVER")</f>
        <v>OK</v>
      </c>
      <c r="D27"/>
      <c r="E27"/>
      <c r="F27"/>
      <c r="G27"/>
      <c r="H27"/>
      <c r="I27" s="281"/>
    </row>
    <row r="28" spans="1:9">
      <c r="A28" s="206"/>
      <c r="I28" s="281"/>
    </row>
    <row r="29" spans="1:9" ht="17.25" customHeight="1">
      <c r="A29" s="304" t="s">
        <v>70</v>
      </c>
      <c r="B29" s="454" t="s">
        <v>71</v>
      </c>
      <c r="C29" s="455"/>
      <c r="D29" s="454" t="s">
        <v>72</v>
      </c>
      <c r="E29" s="456"/>
      <c r="F29" s="457"/>
    </row>
    <row r="30" spans="1:9" ht="20.25" customHeight="1">
      <c r="A30" s="305"/>
      <c r="B30" s="306" t="s">
        <v>73</v>
      </c>
      <c r="C30" s="306" t="s">
        <v>74</v>
      </c>
      <c r="D30" s="306" t="s">
        <v>75</v>
      </c>
      <c r="E30" s="306" t="s">
        <v>76</v>
      </c>
      <c r="F30" s="307" t="s">
        <v>77</v>
      </c>
    </row>
    <row r="31" spans="1:9" ht="15" customHeight="1">
      <c r="A31" s="308" t="str">
        <f t="shared" ref="A31:A37" si="3">A8</f>
        <v>1. Clínica Cirúrgica</v>
      </c>
      <c r="B31" s="309">
        <f>F8</f>
        <v>216</v>
      </c>
      <c r="C31" s="310">
        <f>B31/$B$38</f>
        <v>0.33128834355828218</v>
      </c>
      <c r="D31" s="311">
        <f>H8</f>
        <v>780</v>
      </c>
      <c r="E31" s="411">
        <f t="shared" ref="E31:E36" si="4">I8/F8</f>
        <v>2.9814814814814814</v>
      </c>
      <c r="F31" s="312">
        <f>I8/H8</f>
        <v>0.82564102564102559</v>
      </c>
    </row>
    <row r="32" spans="1:9">
      <c r="A32" s="308" t="str">
        <f t="shared" si="3"/>
        <v>2. Clínica Médica</v>
      </c>
      <c r="B32" s="309">
        <f t="shared" ref="B32:B37" si="5">F9</f>
        <v>210</v>
      </c>
      <c r="C32" s="310">
        <f t="shared" ref="C32:C38" si="6">B32/$B$38</f>
        <v>0.32208588957055212</v>
      </c>
      <c r="D32" s="311">
        <f t="shared" ref="D32:D37" si="7">H9</f>
        <v>840</v>
      </c>
      <c r="E32" s="411">
        <f t="shared" si="4"/>
        <v>3.7857142857142856</v>
      </c>
      <c r="F32" s="312">
        <f t="shared" ref="F32:F38" si="8">I9/H9</f>
        <v>0.9464285714285714</v>
      </c>
    </row>
    <row r="33" spans="1:9" ht="14.25" customHeight="1">
      <c r="A33" s="308" t="str">
        <f t="shared" si="3"/>
        <v>3. Oncologia Clínica</v>
      </c>
      <c r="B33" s="309">
        <f t="shared" si="5"/>
        <v>11</v>
      </c>
      <c r="C33" s="310">
        <f t="shared" si="6"/>
        <v>1.6871165644171779E-2</v>
      </c>
      <c r="D33" s="311">
        <f t="shared" si="7"/>
        <v>142</v>
      </c>
      <c r="E33" s="411">
        <f t="shared" si="4"/>
        <v>9.2727272727272734</v>
      </c>
      <c r="F33" s="312">
        <f t="shared" si="8"/>
        <v>0.71830985915492962</v>
      </c>
    </row>
    <row r="34" spans="1:9" ht="14.25" customHeight="1">
      <c r="A34" s="308" t="str">
        <f t="shared" si="3"/>
        <v>4. Oncologia Cirúrgica</v>
      </c>
      <c r="B34" s="309">
        <f t="shared" si="5"/>
        <v>80</v>
      </c>
      <c r="C34" s="310">
        <f t="shared" si="6"/>
        <v>0.12269938650306748</v>
      </c>
      <c r="D34" s="311">
        <f t="shared" si="7"/>
        <v>310</v>
      </c>
      <c r="E34" s="411">
        <f t="shared" si="4"/>
        <v>2.8125</v>
      </c>
      <c r="F34" s="312">
        <f t="shared" si="8"/>
        <v>0.72580645161290325</v>
      </c>
    </row>
    <row r="35" spans="1:9" ht="15" customHeight="1">
      <c r="A35" s="308" t="str">
        <f t="shared" si="3"/>
        <v>5. Clínica Gineco/Obstétrica</v>
      </c>
      <c r="B35" s="309">
        <f t="shared" si="5"/>
        <v>87</v>
      </c>
      <c r="C35" s="310">
        <f t="shared" si="6"/>
        <v>0.1334355828220859</v>
      </c>
      <c r="D35" s="311">
        <f t="shared" si="7"/>
        <v>270</v>
      </c>
      <c r="E35" s="411">
        <f t="shared" si="4"/>
        <v>2.0919540229885056</v>
      </c>
      <c r="F35" s="312">
        <f t="shared" si="8"/>
        <v>0.67407407407407405</v>
      </c>
    </row>
    <row r="36" spans="1:9">
      <c r="A36" s="308" t="str">
        <f t="shared" si="3"/>
        <v>6. Clínica Pediátrica</v>
      </c>
      <c r="B36" s="309">
        <f t="shared" si="5"/>
        <v>40</v>
      </c>
      <c r="C36" s="310">
        <f t="shared" si="6"/>
        <v>6.1349693251533742E-2</v>
      </c>
      <c r="D36" s="311">
        <f t="shared" si="7"/>
        <v>180</v>
      </c>
      <c r="E36" s="411">
        <f t="shared" si="4"/>
        <v>3.5750000000000002</v>
      </c>
      <c r="F36" s="312">
        <f t="shared" si="8"/>
        <v>0.7944444444444444</v>
      </c>
    </row>
    <row r="37" spans="1:9">
      <c r="A37" s="308" t="str">
        <f t="shared" si="3"/>
        <v>7. UTI Adulto</v>
      </c>
      <c r="B37" s="309">
        <f t="shared" si="5"/>
        <v>8</v>
      </c>
      <c r="C37" s="310">
        <f t="shared" si="6"/>
        <v>1.2269938650306749E-2</v>
      </c>
      <c r="D37" s="311">
        <f t="shared" si="7"/>
        <v>300</v>
      </c>
      <c r="E37" s="411">
        <f>I14/(G14+F14)</f>
        <v>5.9787234042553195</v>
      </c>
      <c r="F37" s="312">
        <f t="shared" si="8"/>
        <v>0.93666666666666665</v>
      </c>
    </row>
    <row r="38" spans="1:9">
      <c r="A38" s="313" t="s">
        <v>14</v>
      </c>
      <c r="B38" s="314">
        <f>SUM(B31:B37)</f>
        <v>652</v>
      </c>
      <c r="C38" s="310">
        <f t="shared" si="6"/>
        <v>1</v>
      </c>
      <c r="D38" s="315">
        <f>SUM(D31:D37)</f>
        <v>2822</v>
      </c>
      <c r="E38" s="412">
        <f>AVERAGE(E31:E37)</f>
        <v>4.3568714953095524</v>
      </c>
      <c r="F38" s="316">
        <f t="shared" si="8"/>
        <v>0.84053862508858967</v>
      </c>
    </row>
    <row r="39" spans="1:9">
      <c r="I39" s="281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8"/>
  <sheetViews>
    <sheetView showGridLines="0" tabSelected="1" showWhiteSpace="0" view="pageBreakPreview" zoomScaleNormal="100" zoomScaleSheetLayoutView="100" zoomScalePageLayoutView="80" workbookViewId="0">
      <selection activeCell="E31" sqref="E31"/>
    </sheetView>
  </sheetViews>
  <sheetFormatPr defaultColWidth="28" defaultRowHeight="19.5" customHeight="1"/>
  <cols>
    <col min="1" max="1" width="39.28515625" style="203" customWidth="1"/>
    <col min="2" max="2" width="24.7109375" style="203" customWidth="1"/>
    <col min="3" max="3" width="18.28515625" style="203" customWidth="1"/>
    <col min="4" max="4" width="19.7109375" style="203" customWidth="1"/>
    <col min="5" max="5" width="20.42578125" style="203" customWidth="1"/>
    <col min="6" max="16384" width="28" style="203"/>
  </cols>
  <sheetData>
    <row r="1" spans="1:13" ht="19.5" customHeight="1">
      <c r="A1" s="425" t="s">
        <v>78</v>
      </c>
      <c r="B1" s="426"/>
      <c r="C1" s="426"/>
      <c r="D1" s="426"/>
      <c r="E1" s="446"/>
      <c r="F1" s="205"/>
      <c r="G1" s="205"/>
      <c r="H1" s="205"/>
      <c r="I1" s="205"/>
      <c r="J1" s="205"/>
      <c r="K1" s="240"/>
      <c r="L1" s="241"/>
      <c r="M1" s="241"/>
    </row>
    <row r="2" spans="1:13" ht="19.5" customHeight="1">
      <c r="A2" s="206"/>
    </row>
    <row r="3" spans="1:13" ht="19.5" customHeight="1">
      <c r="A3" s="207" t="s">
        <v>6</v>
      </c>
      <c r="B3" s="269" t="s">
        <v>3</v>
      </c>
      <c r="C3" s="270"/>
    </row>
    <row r="4" spans="1:13" ht="19.5" customHeight="1">
      <c r="A4" s="207" t="s">
        <v>7</v>
      </c>
      <c r="B4" s="208">
        <v>46113</v>
      </c>
    </row>
    <row r="5" spans="1:13" ht="19.5" customHeight="1">
      <c r="A5" s="206"/>
    </row>
    <row r="6" spans="1:13" ht="19.5" customHeight="1">
      <c r="A6" s="449" t="s">
        <v>79</v>
      </c>
      <c r="B6" s="450"/>
      <c r="C6" s="450"/>
      <c r="D6" s="450"/>
      <c r="E6" s="451"/>
    </row>
    <row r="7" spans="1:13" ht="18" customHeight="1">
      <c r="A7" s="470" t="s">
        <v>80</v>
      </c>
      <c r="B7" s="471"/>
      <c r="C7" s="471"/>
      <c r="D7" s="471"/>
      <c r="E7" s="472"/>
    </row>
    <row r="8" spans="1:13" ht="63" customHeight="1">
      <c r="A8" s="272" t="s">
        <v>81</v>
      </c>
      <c r="B8" s="273" t="s">
        <v>82</v>
      </c>
      <c r="C8" s="273" t="s">
        <v>83</v>
      </c>
      <c r="D8" s="273" t="s">
        <v>84</v>
      </c>
      <c r="E8" s="274" t="s">
        <v>14</v>
      </c>
    </row>
    <row r="9" spans="1:13" ht="19.5" customHeight="1">
      <c r="A9" s="206" t="s">
        <v>85</v>
      </c>
      <c r="B9" s="204">
        <v>1</v>
      </c>
      <c r="C9" s="204">
        <v>0</v>
      </c>
      <c r="D9" s="204">
        <v>112</v>
      </c>
      <c r="E9" s="275">
        <f>SUM(B9:D9)</f>
        <v>113</v>
      </c>
    </row>
    <row r="10" spans="1:13" ht="19.5" customHeight="1">
      <c r="A10" s="206" t="s">
        <v>86</v>
      </c>
      <c r="B10" s="204">
        <v>94</v>
      </c>
      <c r="C10" s="204">
        <v>0</v>
      </c>
      <c r="D10" s="204">
        <v>103</v>
      </c>
      <c r="E10" s="275">
        <f t="shared" ref="E10:E30" si="0">SUM(B10:D10)</f>
        <v>197</v>
      </c>
    </row>
    <row r="11" spans="1:13" ht="19.5" customHeight="1">
      <c r="A11" s="206" t="s">
        <v>87</v>
      </c>
      <c r="B11" s="204">
        <v>29</v>
      </c>
      <c r="C11" s="204">
        <v>0</v>
      </c>
      <c r="D11" s="204">
        <v>161</v>
      </c>
      <c r="E11" s="275">
        <f t="shared" si="0"/>
        <v>190</v>
      </c>
    </row>
    <row r="12" spans="1:13" ht="19.5" customHeight="1">
      <c r="A12" s="206" t="s">
        <v>88</v>
      </c>
      <c r="B12" s="276">
        <v>63</v>
      </c>
      <c r="C12" s="276">
        <v>0</v>
      </c>
      <c r="D12" s="276">
        <v>87</v>
      </c>
      <c r="E12" s="275">
        <f t="shared" si="0"/>
        <v>150</v>
      </c>
    </row>
    <row r="13" spans="1:13" ht="19.5" customHeight="1">
      <c r="A13" s="206" t="s">
        <v>89</v>
      </c>
      <c r="B13" s="223">
        <v>0</v>
      </c>
      <c r="C13" s="223">
        <v>0</v>
      </c>
      <c r="D13" s="223">
        <v>12</v>
      </c>
      <c r="E13" s="275">
        <f t="shared" si="0"/>
        <v>12</v>
      </c>
    </row>
    <row r="14" spans="1:13" ht="19.5" customHeight="1">
      <c r="A14" s="206" t="s">
        <v>90</v>
      </c>
      <c r="B14" s="204">
        <v>12</v>
      </c>
      <c r="C14" s="204">
        <v>0</v>
      </c>
      <c r="D14" s="204">
        <v>55</v>
      </c>
      <c r="E14" s="275">
        <f t="shared" si="0"/>
        <v>67</v>
      </c>
    </row>
    <row r="15" spans="1:13" ht="19.5" customHeight="1">
      <c r="A15" s="206" t="s">
        <v>91</v>
      </c>
      <c r="B15" s="223">
        <v>39</v>
      </c>
      <c r="C15" s="223">
        <v>0</v>
      </c>
      <c r="D15" s="223">
        <v>28</v>
      </c>
      <c r="E15" s="275">
        <f t="shared" si="0"/>
        <v>67</v>
      </c>
    </row>
    <row r="16" spans="1:13" ht="19.5" customHeight="1">
      <c r="A16" s="206" t="s">
        <v>92</v>
      </c>
      <c r="B16" s="223">
        <v>8</v>
      </c>
      <c r="C16" s="223">
        <v>0</v>
      </c>
      <c r="D16" s="223">
        <v>26</v>
      </c>
      <c r="E16" s="275">
        <f t="shared" si="0"/>
        <v>34</v>
      </c>
    </row>
    <row r="17" spans="1:5" ht="15">
      <c r="A17" s="277" t="s">
        <v>93</v>
      </c>
      <c r="B17" s="204">
        <v>0</v>
      </c>
      <c r="C17" s="204">
        <v>0</v>
      </c>
      <c r="D17" s="204">
        <v>71</v>
      </c>
      <c r="E17" s="275">
        <f t="shared" si="0"/>
        <v>71</v>
      </c>
    </row>
    <row r="18" spans="1:5" ht="19.5" customHeight="1">
      <c r="A18" s="206" t="s">
        <v>94</v>
      </c>
      <c r="B18" s="204">
        <v>26</v>
      </c>
      <c r="C18" s="204">
        <v>0</v>
      </c>
      <c r="D18" s="204">
        <v>7</v>
      </c>
      <c r="E18" s="275">
        <f t="shared" si="0"/>
        <v>33</v>
      </c>
    </row>
    <row r="19" spans="1:5" ht="19.5" customHeight="1">
      <c r="A19" s="206" t="s">
        <v>95</v>
      </c>
      <c r="B19" s="204">
        <v>0</v>
      </c>
      <c r="C19" s="204">
        <v>0</v>
      </c>
      <c r="D19" s="204">
        <v>15</v>
      </c>
      <c r="E19" s="275">
        <f t="shared" si="0"/>
        <v>15</v>
      </c>
    </row>
    <row r="20" spans="1:5" ht="19.5" customHeight="1">
      <c r="A20" s="206" t="s">
        <v>96</v>
      </c>
      <c r="B20" s="204">
        <v>16</v>
      </c>
      <c r="C20" s="204">
        <v>0</v>
      </c>
      <c r="D20" s="204">
        <v>69</v>
      </c>
      <c r="E20" s="275">
        <f t="shared" si="0"/>
        <v>85</v>
      </c>
    </row>
    <row r="21" spans="1:5" ht="19.5" customHeight="1">
      <c r="A21" s="206" t="s">
        <v>97</v>
      </c>
      <c r="B21" s="204">
        <v>249</v>
      </c>
      <c r="C21" s="204">
        <v>0</v>
      </c>
      <c r="D21" s="204">
        <v>337</v>
      </c>
      <c r="E21" s="275">
        <f t="shared" si="0"/>
        <v>586</v>
      </c>
    </row>
    <row r="22" spans="1:5" ht="19.5" customHeight="1">
      <c r="A22" s="206" t="s">
        <v>98</v>
      </c>
      <c r="B22" s="303">
        <v>70</v>
      </c>
      <c r="C22" s="303">
        <v>0</v>
      </c>
      <c r="D22" s="303">
        <v>872</v>
      </c>
      <c r="E22" s="275">
        <f t="shared" si="0"/>
        <v>942</v>
      </c>
    </row>
    <row r="23" spans="1:5" ht="19.5" customHeight="1">
      <c r="A23" s="206" t="s">
        <v>99</v>
      </c>
      <c r="B23" s="204">
        <v>40</v>
      </c>
      <c r="C23" s="204">
        <v>0</v>
      </c>
      <c r="D23" s="204">
        <v>191</v>
      </c>
      <c r="E23" s="275">
        <f t="shared" si="0"/>
        <v>231</v>
      </c>
    </row>
    <row r="24" spans="1:5" ht="19.5" customHeight="1">
      <c r="A24" s="206" t="s">
        <v>100</v>
      </c>
      <c r="B24" s="204">
        <v>192</v>
      </c>
      <c r="C24" s="204">
        <v>0</v>
      </c>
      <c r="D24" s="204">
        <v>350</v>
      </c>
      <c r="E24" s="275">
        <f t="shared" si="0"/>
        <v>542</v>
      </c>
    </row>
    <row r="25" spans="1:5" ht="19.5" customHeight="1">
      <c r="A25" s="206" t="s">
        <v>101</v>
      </c>
      <c r="B25" s="204">
        <v>66</v>
      </c>
      <c r="C25" s="204">
        <v>0</v>
      </c>
      <c r="D25" s="204">
        <v>52</v>
      </c>
      <c r="E25" s="275">
        <f t="shared" si="0"/>
        <v>118</v>
      </c>
    </row>
    <row r="26" spans="1:5" ht="19.5" customHeight="1">
      <c r="A26" s="206" t="s">
        <v>102</v>
      </c>
      <c r="B26" s="204">
        <v>8</v>
      </c>
      <c r="C26" s="204">
        <v>0</v>
      </c>
      <c r="D26" s="204">
        <v>9</v>
      </c>
      <c r="E26" s="275">
        <f t="shared" si="0"/>
        <v>17</v>
      </c>
    </row>
    <row r="27" spans="1:5" ht="19.5" customHeight="1">
      <c r="A27" s="206" t="s">
        <v>103</v>
      </c>
      <c r="B27" s="204">
        <v>2</v>
      </c>
      <c r="C27" s="204">
        <v>0</v>
      </c>
      <c r="D27" s="204">
        <v>37</v>
      </c>
      <c r="E27" s="275">
        <f t="shared" si="0"/>
        <v>39</v>
      </c>
    </row>
    <row r="28" spans="1:5" ht="19.5" customHeight="1">
      <c r="A28" s="206" t="s">
        <v>104</v>
      </c>
      <c r="B28" s="204">
        <v>0</v>
      </c>
      <c r="C28" s="204">
        <v>0</v>
      </c>
      <c r="D28" s="204">
        <v>54</v>
      </c>
      <c r="E28" s="275">
        <f t="shared" si="0"/>
        <v>54</v>
      </c>
    </row>
    <row r="29" spans="1:5" ht="19.5" customHeight="1">
      <c r="A29" s="206" t="s">
        <v>105</v>
      </c>
      <c r="B29" s="204">
        <v>30</v>
      </c>
      <c r="C29" s="204">
        <v>0</v>
      </c>
      <c r="D29" s="204">
        <v>21</v>
      </c>
      <c r="E29" s="275">
        <f t="shared" si="0"/>
        <v>51</v>
      </c>
    </row>
    <row r="30" spans="1:5" ht="15">
      <c r="A30" s="277" t="s">
        <v>106</v>
      </c>
      <c r="B30" s="204">
        <v>53</v>
      </c>
      <c r="C30" s="204">
        <v>0</v>
      </c>
      <c r="D30" s="204">
        <v>37</v>
      </c>
      <c r="E30" s="275">
        <f t="shared" si="0"/>
        <v>90</v>
      </c>
    </row>
    <row r="31" spans="1:5" ht="19.5" customHeight="1">
      <c r="A31" s="278" t="s">
        <v>14</v>
      </c>
      <c r="B31" s="279">
        <f>SUM(B9:B30)</f>
        <v>998</v>
      </c>
      <c r="C31" s="279">
        <f>SUM(C9:C30)</f>
        <v>0</v>
      </c>
      <c r="D31" s="279">
        <f>SUM(D9:D30)</f>
        <v>2706</v>
      </c>
      <c r="E31" s="280">
        <f>SUM(E9:E30)</f>
        <v>3704</v>
      </c>
    </row>
    <row r="32" spans="1:5" ht="21" customHeight="1">
      <c r="A32" s="206"/>
      <c r="E32" s="281"/>
    </row>
    <row r="33" spans="1:5" ht="20.100000000000001" customHeight="1">
      <c r="A33" s="473" t="s">
        <v>107</v>
      </c>
      <c r="B33" s="474"/>
      <c r="C33" s="474"/>
      <c r="D33" s="475"/>
      <c r="E33" s="281"/>
    </row>
    <row r="34" spans="1:5" ht="30.95" customHeight="1">
      <c r="A34" s="272" t="s">
        <v>81</v>
      </c>
      <c r="B34" s="273" t="s">
        <v>108</v>
      </c>
      <c r="C34" s="273" t="s">
        <v>109</v>
      </c>
      <c r="D34" s="274" t="s">
        <v>14</v>
      </c>
      <c r="E34" s="281"/>
    </row>
    <row r="35" spans="1:5" ht="45.95" customHeight="1">
      <c r="A35" s="277" t="s">
        <v>110</v>
      </c>
      <c r="B35" s="204">
        <v>13</v>
      </c>
      <c r="C35" s="204">
        <v>4</v>
      </c>
      <c r="D35" s="275">
        <f>SUM(B35:C35)</f>
        <v>17</v>
      </c>
      <c r="E35" s="281"/>
    </row>
    <row r="36" spans="1:5" ht="39.950000000000003" customHeight="1">
      <c r="A36" s="277" t="s">
        <v>111</v>
      </c>
      <c r="B36" s="282" t="s">
        <v>57</v>
      </c>
      <c r="C36" s="204">
        <v>544</v>
      </c>
      <c r="D36" s="275">
        <f>SUM(B36:C36)</f>
        <v>544</v>
      </c>
      <c r="E36" s="281"/>
    </row>
    <row r="37" spans="1:5" ht="19.5" customHeight="1">
      <c r="A37" s="278" t="s">
        <v>14</v>
      </c>
      <c r="B37" s="279">
        <f>SUM(B35:B36)</f>
        <v>13</v>
      </c>
      <c r="C37" s="279">
        <f>SUM(C35:C36)</f>
        <v>548</v>
      </c>
      <c r="D37" s="280">
        <f>SUM(D35:D36)</f>
        <v>561</v>
      </c>
      <c r="E37" s="281"/>
    </row>
    <row r="38" spans="1:5" ht="9" customHeight="1">
      <c r="A38" s="206"/>
      <c r="E38" s="281"/>
    </row>
    <row r="39" spans="1:5" ht="18" customHeight="1">
      <c r="A39" s="473" t="s">
        <v>112</v>
      </c>
      <c r="B39" s="474"/>
      <c r="C39" s="474"/>
      <c r="D39" s="475"/>
      <c r="E39" s="281"/>
    </row>
    <row r="40" spans="1:5" ht="27.95" customHeight="1">
      <c r="A40" s="272" t="s">
        <v>81</v>
      </c>
      <c r="B40" s="273" t="str">
        <f>B34</f>
        <v>Realizado Regulação**</v>
      </c>
      <c r="C40" s="273" t="str">
        <f>C34</f>
        <v>Agenda Interna</v>
      </c>
      <c r="D40" s="274" t="s">
        <v>14</v>
      </c>
      <c r="E40" s="281"/>
    </row>
    <row r="41" spans="1:5" ht="19.5" customHeight="1">
      <c r="A41" s="277" t="s">
        <v>113</v>
      </c>
      <c r="B41" s="204">
        <v>3</v>
      </c>
      <c r="C41" s="204">
        <v>10</v>
      </c>
      <c r="D41" s="275">
        <f>SUM(B41:C41)</f>
        <v>13</v>
      </c>
      <c r="E41" s="281"/>
    </row>
    <row r="42" spans="1:5" ht="19.5" customHeight="1">
      <c r="A42" s="206" t="s">
        <v>114</v>
      </c>
      <c r="B42" s="282" t="s">
        <v>57</v>
      </c>
      <c r="C42" s="204">
        <v>147</v>
      </c>
      <c r="D42" s="275">
        <f>SUM(B42:C42)</f>
        <v>147</v>
      </c>
      <c r="E42" s="281"/>
    </row>
    <row r="43" spans="1:5" ht="19.5" customHeight="1">
      <c r="A43" s="206" t="s">
        <v>115</v>
      </c>
      <c r="B43" s="282" t="s">
        <v>57</v>
      </c>
      <c r="C43" s="204">
        <v>18</v>
      </c>
      <c r="D43" s="275">
        <f>SUM(B43:C43)</f>
        <v>18</v>
      </c>
      <c r="E43" s="281"/>
    </row>
    <row r="44" spans="1:5" ht="19.5" customHeight="1">
      <c r="A44" s="206" t="s">
        <v>116</v>
      </c>
      <c r="B44" s="282" t="s">
        <v>57</v>
      </c>
      <c r="C44" s="204">
        <v>229</v>
      </c>
      <c r="D44" s="275">
        <f>SUM(B44:C44)</f>
        <v>229</v>
      </c>
      <c r="E44" s="281"/>
    </row>
    <row r="45" spans="1:5" ht="19.5" customHeight="1">
      <c r="A45" s="278" t="s">
        <v>14</v>
      </c>
      <c r="B45" s="279">
        <f>SUM(B41:B44)</f>
        <v>3</v>
      </c>
      <c r="C45" s="279">
        <f>SUM(C41:C44)</f>
        <v>404</v>
      </c>
      <c r="D45" s="280">
        <f>SUM(D41:D44)</f>
        <v>407</v>
      </c>
      <c r="E45" s="283"/>
    </row>
    <row r="46" spans="1:5" ht="19.5" customHeight="1">
      <c r="A46" s="206"/>
    </row>
    <row r="47" spans="1:5" ht="19.5" customHeight="1">
      <c r="A47" s="449" t="s">
        <v>117</v>
      </c>
      <c r="B47" s="450"/>
      <c r="C47" s="450"/>
      <c r="D47" s="450"/>
      <c r="E47" s="451"/>
    </row>
    <row r="48" spans="1:5" ht="19.5" customHeight="1">
      <c r="A48" s="464" t="s">
        <v>118</v>
      </c>
      <c r="B48" s="466"/>
      <c r="C48" s="466"/>
      <c r="D48" s="466"/>
      <c r="E48" s="465"/>
    </row>
    <row r="49" spans="1:6" ht="18.95" customHeight="1">
      <c r="A49" s="284"/>
      <c r="B49" s="285"/>
      <c r="C49" s="285"/>
      <c r="D49" s="286"/>
      <c r="E49" s="230"/>
    </row>
    <row r="50" spans="1:6" ht="84" customHeight="1">
      <c r="A50" s="287" t="s">
        <v>81</v>
      </c>
      <c r="B50" s="288" t="s">
        <v>119</v>
      </c>
      <c r="C50" s="288" t="s">
        <v>120</v>
      </c>
      <c r="D50" s="289" t="s">
        <v>121</v>
      </c>
      <c r="E50" s="290" t="s">
        <v>122</v>
      </c>
    </row>
    <row r="51" spans="1:6" ht="19.5" customHeight="1">
      <c r="A51" s="206" t="s">
        <v>86</v>
      </c>
      <c r="B51" s="204">
        <v>120</v>
      </c>
      <c r="C51" s="204">
        <v>104</v>
      </c>
      <c r="D51" s="204">
        <v>94</v>
      </c>
      <c r="E51" s="291">
        <f>C51-D51</f>
        <v>10</v>
      </c>
    </row>
    <row r="52" spans="1:6" ht="19.5" customHeight="1">
      <c r="A52" s="206" t="s">
        <v>87</v>
      </c>
      <c r="B52" s="204">
        <v>53</v>
      </c>
      <c r="C52" s="204">
        <v>34</v>
      </c>
      <c r="D52" s="204">
        <v>29</v>
      </c>
      <c r="E52" s="291">
        <f t="shared" ref="E52:E57" si="1">C52-D52</f>
        <v>5</v>
      </c>
    </row>
    <row r="53" spans="1:6" ht="19.5" customHeight="1">
      <c r="A53" s="206" t="s">
        <v>88</v>
      </c>
      <c r="B53" s="276">
        <v>115</v>
      </c>
      <c r="C53" s="276">
        <v>114</v>
      </c>
      <c r="D53" s="276">
        <v>63</v>
      </c>
      <c r="E53" s="291">
        <f t="shared" si="1"/>
        <v>51</v>
      </c>
    </row>
    <row r="54" spans="1:6" ht="19.5" customHeight="1">
      <c r="A54" s="206" t="s">
        <v>90</v>
      </c>
      <c r="B54" s="204">
        <v>14</v>
      </c>
      <c r="C54" s="204">
        <v>12</v>
      </c>
      <c r="D54" s="204">
        <v>12</v>
      </c>
      <c r="E54" s="291">
        <f t="shared" si="1"/>
        <v>0</v>
      </c>
    </row>
    <row r="55" spans="1:6" ht="19.5" customHeight="1">
      <c r="A55" s="206" t="s">
        <v>91</v>
      </c>
      <c r="B55" s="223">
        <v>79</v>
      </c>
      <c r="C55" s="223">
        <v>45</v>
      </c>
      <c r="D55" s="223">
        <v>38</v>
      </c>
      <c r="E55" s="291">
        <f t="shared" si="1"/>
        <v>7</v>
      </c>
    </row>
    <row r="56" spans="1:6" ht="19.5" customHeight="1">
      <c r="A56" s="206" t="s">
        <v>92</v>
      </c>
      <c r="B56" s="223">
        <v>6</v>
      </c>
      <c r="C56" s="223">
        <v>6</v>
      </c>
      <c r="D56" s="223">
        <v>8</v>
      </c>
      <c r="E56" s="291">
        <f t="shared" si="1"/>
        <v>-2</v>
      </c>
      <c r="F56" s="203" t="s">
        <v>906</v>
      </c>
    </row>
    <row r="57" spans="1:6" ht="19.5" customHeight="1">
      <c r="A57" s="277" t="s">
        <v>93</v>
      </c>
      <c r="B57" s="204">
        <v>0</v>
      </c>
      <c r="C57" s="204">
        <v>0</v>
      </c>
      <c r="D57" s="204">
        <v>0</v>
      </c>
      <c r="E57" s="291">
        <f t="shared" si="1"/>
        <v>0</v>
      </c>
    </row>
    <row r="58" spans="1:6" ht="19.5" customHeight="1">
      <c r="A58" s="206" t="s">
        <v>95</v>
      </c>
      <c r="B58" s="204">
        <v>0</v>
      </c>
      <c r="C58" s="204">
        <v>0</v>
      </c>
      <c r="D58" s="204">
        <v>0</v>
      </c>
      <c r="E58" s="291">
        <f>C58-D58</f>
        <v>0</v>
      </c>
    </row>
    <row r="59" spans="1:6" ht="19.5" customHeight="1">
      <c r="A59" s="206" t="s">
        <v>96</v>
      </c>
      <c r="B59" s="204">
        <v>20</v>
      </c>
      <c r="C59" s="204">
        <v>20</v>
      </c>
      <c r="D59" s="204">
        <v>16</v>
      </c>
      <c r="E59" s="291">
        <f>C59-D59</f>
        <v>4</v>
      </c>
    </row>
    <row r="60" spans="1:6" ht="19.5" customHeight="1">
      <c r="A60" s="206" t="s">
        <v>97</v>
      </c>
      <c r="B60" s="204">
        <v>306</v>
      </c>
      <c r="C60" s="204">
        <v>281</v>
      </c>
      <c r="D60" s="204">
        <v>248</v>
      </c>
      <c r="E60" s="291">
        <f>C60-D60</f>
        <v>33</v>
      </c>
    </row>
    <row r="61" spans="1:6" ht="19.5" customHeight="1">
      <c r="A61" s="206" t="s">
        <v>123</v>
      </c>
      <c r="B61" s="204">
        <v>150</v>
      </c>
      <c r="C61" s="204">
        <v>110</v>
      </c>
      <c r="D61" s="204">
        <v>104</v>
      </c>
      <c r="E61" s="291">
        <f>C61-D61</f>
        <v>6</v>
      </c>
    </row>
    <row r="62" spans="1:6" ht="19.5" customHeight="1">
      <c r="A62" s="206" t="s">
        <v>100</v>
      </c>
      <c r="B62" s="204">
        <v>300</v>
      </c>
      <c r="C62" s="204">
        <v>258</v>
      </c>
      <c r="D62" s="204">
        <v>191</v>
      </c>
      <c r="E62" s="291">
        <f t="shared" ref="E62:E67" si="2">C62-D62</f>
        <v>67</v>
      </c>
    </row>
    <row r="63" spans="1:6" ht="19.5" customHeight="1">
      <c r="A63" s="206" t="s">
        <v>101</v>
      </c>
      <c r="B63" s="204">
        <v>111</v>
      </c>
      <c r="C63" s="204">
        <v>91</v>
      </c>
      <c r="D63" s="204">
        <v>66</v>
      </c>
      <c r="E63" s="291">
        <f t="shared" si="2"/>
        <v>25</v>
      </c>
    </row>
    <row r="64" spans="1:6" ht="19.5" customHeight="1">
      <c r="A64" s="206" t="s">
        <v>102</v>
      </c>
      <c r="B64" s="204">
        <v>28</v>
      </c>
      <c r="C64" s="204">
        <v>8</v>
      </c>
      <c r="D64" s="204">
        <v>8</v>
      </c>
      <c r="E64" s="291">
        <f t="shared" si="2"/>
        <v>0</v>
      </c>
    </row>
    <row r="65" spans="1:6" ht="19.5" customHeight="1">
      <c r="A65" s="256" t="s">
        <v>104</v>
      </c>
      <c r="B65" s="204">
        <v>0</v>
      </c>
      <c r="C65" s="204">
        <v>0</v>
      </c>
      <c r="D65" s="204">
        <v>0</v>
      </c>
      <c r="E65" s="291">
        <f t="shared" si="2"/>
        <v>0</v>
      </c>
    </row>
    <row r="66" spans="1:6" ht="19.5" customHeight="1">
      <c r="A66" s="206" t="s">
        <v>105</v>
      </c>
      <c r="B66" s="204">
        <v>55</v>
      </c>
      <c r="C66" s="204">
        <v>40</v>
      </c>
      <c r="D66" s="204">
        <v>30</v>
      </c>
      <c r="E66" s="291">
        <f t="shared" si="2"/>
        <v>10</v>
      </c>
    </row>
    <row r="67" spans="1:6" ht="19.5" customHeight="1">
      <c r="A67" s="277" t="s">
        <v>106</v>
      </c>
      <c r="B67" s="204">
        <v>47</v>
      </c>
      <c r="C67" s="204">
        <v>52</v>
      </c>
      <c r="D67" s="204">
        <v>53</v>
      </c>
      <c r="E67" s="291">
        <f t="shared" si="2"/>
        <v>-1</v>
      </c>
      <c r="F67" s="203" t="s">
        <v>906</v>
      </c>
    </row>
    <row r="68" spans="1:6" ht="19.5" customHeight="1">
      <c r="A68" s="278" t="s">
        <v>14</v>
      </c>
      <c r="B68" s="279">
        <f>SUM(B51:B67)</f>
        <v>1404</v>
      </c>
      <c r="C68" s="279">
        <f>SUM(C51:C67)</f>
        <v>1175</v>
      </c>
      <c r="D68" s="279">
        <f>SUM(D51:D67)</f>
        <v>960</v>
      </c>
      <c r="E68" s="280">
        <f>SUM(E51:E67)</f>
        <v>215</v>
      </c>
    </row>
    <row r="69" spans="1:6" ht="19.5" customHeight="1">
      <c r="A69" s="206"/>
      <c r="D69" s="204"/>
      <c r="E69" s="281"/>
    </row>
    <row r="70" spans="1:6" ht="19.5" customHeight="1">
      <c r="A70" s="467" t="s">
        <v>124</v>
      </c>
      <c r="B70" s="468"/>
      <c r="C70" s="468"/>
      <c r="D70" s="468"/>
      <c r="E70" s="469"/>
    </row>
    <row r="71" spans="1:6" ht="104.1" customHeight="1">
      <c r="A71" s="272" t="s">
        <v>81</v>
      </c>
      <c r="B71" s="273" t="str">
        <f>B50</f>
        <v>Nº de Consultas disponibilizadas para Regulação</v>
      </c>
      <c r="C71" s="273" t="str">
        <f>C50</f>
        <v>Nº de Consultas agendadas com os pacientes oriundos da Regulação</v>
      </c>
      <c r="D71" s="273" t="str">
        <f>D50</f>
        <v>Nº de Consultas Realizadas com os pacientes oriundos da Regulação**</v>
      </c>
      <c r="E71" s="292" t="str">
        <f>E50</f>
        <v>Nº de Pacientes Faltantes oriundos do agendamento da Regulação</v>
      </c>
    </row>
    <row r="72" spans="1:6" ht="51" customHeight="1">
      <c r="A72" s="277" t="s">
        <v>110</v>
      </c>
      <c r="B72" s="204">
        <v>32</v>
      </c>
      <c r="C72" s="204">
        <v>24</v>
      </c>
      <c r="D72" s="204">
        <v>15</v>
      </c>
      <c r="E72" s="291">
        <f>C72-D72</f>
        <v>9</v>
      </c>
    </row>
    <row r="73" spans="1:6" ht="19.5" customHeight="1">
      <c r="A73" s="278" t="s">
        <v>14</v>
      </c>
      <c r="B73" s="279">
        <f>SUM(B72:B72)</f>
        <v>32</v>
      </c>
      <c r="C73" s="279">
        <f>SUM(C72:C72)</f>
        <v>24</v>
      </c>
      <c r="D73" s="279">
        <f>SUM(D72:D72)</f>
        <v>15</v>
      </c>
      <c r="E73" s="280">
        <f>SUM(E72:E72)</f>
        <v>9</v>
      </c>
    </row>
    <row r="74" spans="1:6" ht="19.5" customHeight="1">
      <c r="A74" s="206"/>
      <c r="E74" s="281"/>
    </row>
    <row r="75" spans="1:6" ht="19.5" customHeight="1">
      <c r="A75" s="467" t="s">
        <v>125</v>
      </c>
      <c r="B75" s="468"/>
      <c r="C75" s="468"/>
      <c r="D75" s="468"/>
      <c r="E75" s="469"/>
    </row>
    <row r="76" spans="1:6" ht="90" customHeight="1">
      <c r="A76" s="272" t="s">
        <v>81</v>
      </c>
      <c r="B76" s="273" t="str">
        <f>B71</f>
        <v>Nº de Consultas disponibilizadas para Regulação</v>
      </c>
      <c r="C76" s="273" t="str">
        <f>C71</f>
        <v>Nº de Consultas agendadas com os pacientes oriundos da Regulação</v>
      </c>
      <c r="D76" s="273" t="str">
        <f>D71</f>
        <v>Nº de Consultas Realizadas com os pacientes oriundos da Regulação**</v>
      </c>
      <c r="E76" s="292" t="str">
        <f>E71</f>
        <v>Nº de Pacientes Faltantes oriundos do agendamento da Regulação</v>
      </c>
    </row>
    <row r="77" spans="1:6" ht="19.5" customHeight="1">
      <c r="A77" s="277" t="s">
        <v>113</v>
      </c>
      <c r="B77" s="204">
        <v>3</v>
      </c>
      <c r="C77" s="204">
        <v>3</v>
      </c>
      <c r="D77" s="204">
        <v>3</v>
      </c>
      <c r="E77" s="291">
        <f>C77-D77</f>
        <v>0</v>
      </c>
    </row>
    <row r="78" spans="1:6" ht="19.5" customHeight="1">
      <c r="A78" s="278" t="s">
        <v>14</v>
      </c>
      <c r="B78" s="279">
        <f>SUM(B77:B77)</f>
        <v>3</v>
      </c>
      <c r="C78" s="279">
        <f>SUM(C77:C77)</f>
        <v>3</v>
      </c>
      <c r="D78" s="279">
        <f>SUM(D77:D77)</f>
        <v>3</v>
      </c>
      <c r="E78" s="280">
        <f>SUM(E77:E77)</f>
        <v>0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view="pageBreakPreview" zoomScaleNormal="100" workbookViewId="0">
      <selection activeCell="E8" sqref="E8"/>
    </sheetView>
  </sheetViews>
  <sheetFormatPr defaultColWidth="28" defaultRowHeight="18" customHeight="1"/>
  <cols>
    <col min="1" max="1" width="30.85546875" style="203" customWidth="1"/>
    <col min="2" max="2" width="14.7109375" style="203" customWidth="1"/>
    <col min="3" max="3" width="18.28515625" style="203" customWidth="1"/>
    <col min="4" max="4" width="22.5703125" style="203" customWidth="1"/>
    <col min="5" max="16384" width="28" style="203"/>
  </cols>
  <sheetData>
    <row r="1" spans="1:15" ht="19.5" customHeight="1">
      <c r="A1" s="476" t="s">
        <v>126</v>
      </c>
      <c r="B1" s="477"/>
      <c r="C1" s="477"/>
      <c r="D1" s="477"/>
      <c r="E1" s="477"/>
      <c r="F1" s="477"/>
      <c r="G1" s="205"/>
      <c r="H1" s="205"/>
      <c r="I1" s="205"/>
      <c r="J1" s="205"/>
      <c r="K1" s="205"/>
      <c r="L1" s="205"/>
      <c r="M1" s="240"/>
      <c r="N1" s="241"/>
      <c r="O1" s="241"/>
    </row>
    <row r="2" spans="1:15" ht="18" customHeight="1">
      <c r="A2" s="206"/>
    </row>
    <row r="3" spans="1:15" ht="18" customHeight="1">
      <c r="A3" s="207" t="s">
        <v>6</v>
      </c>
      <c r="B3" s="447" t="s">
        <v>3</v>
      </c>
      <c r="C3" s="447"/>
      <c r="D3" s="447"/>
    </row>
    <row r="4" spans="1:15" ht="18" customHeight="1">
      <c r="A4" s="207" t="s">
        <v>7</v>
      </c>
      <c r="B4" s="448">
        <v>46113</v>
      </c>
      <c r="C4" s="448"/>
      <c r="D4" s="448"/>
    </row>
    <row r="6" spans="1:15" ht="18" customHeight="1">
      <c r="A6" s="449" t="s">
        <v>127</v>
      </c>
      <c r="B6" s="450"/>
      <c r="C6" s="450"/>
      <c r="D6" s="451"/>
    </row>
    <row r="7" spans="1:15" ht="48" customHeight="1">
      <c r="A7" s="242"/>
      <c r="B7" s="243" t="s">
        <v>128</v>
      </c>
      <c r="C7" s="243" t="s">
        <v>129</v>
      </c>
      <c r="D7" s="244" t="s">
        <v>130</v>
      </c>
    </row>
    <row r="8" spans="1:15" ht="18" customHeight="1">
      <c r="A8" s="245" t="s">
        <v>131</v>
      </c>
      <c r="B8" s="204">
        <v>76</v>
      </c>
      <c r="C8" s="204">
        <v>18</v>
      </c>
      <c r="D8" s="246">
        <f>SUM(B8:C8)</f>
        <v>94</v>
      </c>
    </row>
    <row r="9" spans="1:15" ht="18" customHeight="1">
      <c r="A9" s="245" t="s">
        <v>132</v>
      </c>
      <c r="B9" s="204">
        <v>190</v>
      </c>
      <c r="C9" s="204">
        <v>11</v>
      </c>
      <c r="D9" s="246">
        <f t="shared" ref="D9:D15" si="0">SUM(B9:C9)</f>
        <v>201</v>
      </c>
    </row>
    <row r="10" spans="1:15" ht="18" customHeight="1">
      <c r="A10" s="245" t="s">
        <v>133</v>
      </c>
      <c r="B10" s="204">
        <v>0</v>
      </c>
      <c r="C10" s="204">
        <v>1185</v>
      </c>
      <c r="D10" s="246">
        <f t="shared" si="0"/>
        <v>1185</v>
      </c>
    </row>
    <row r="11" spans="1:15" ht="18" customHeight="1">
      <c r="A11" s="245" t="s">
        <v>134</v>
      </c>
      <c r="B11" s="204">
        <v>161</v>
      </c>
      <c r="C11" s="204">
        <v>28</v>
      </c>
      <c r="D11" s="246">
        <f t="shared" si="0"/>
        <v>189</v>
      </c>
    </row>
    <row r="12" spans="1:15" ht="18" customHeight="1">
      <c r="A12" s="245" t="s">
        <v>135</v>
      </c>
      <c r="B12" s="204">
        <v>816</v>
      </c>
      <c r="C12" s="204">
        <v>451</v>
      </c>
      <c r="D12" s="246">
        <f t="shared" si="0"/>
        <v>1267</v>
      </c>
    </row>
    <row r="13" spans="1:15" ht="18" customHeight="1">
      <c r="A13" s="245" t="s">
        <v>136</v>
      </c>
      <c r="B13" s="204">
        <v>4</v>
      </c>
      <c r="C13" s="204">
        <v>0</v>
      </c>
      <c r="D13" s="246">
        <f t="shared" si="0"/>
        <v>4</v>
      </c>
    </row>
    <row r="14" spans="1:15" ht="18" customHeight="1">
      <c r="A14" s="245" t="s">
        <v>137</v>
      </c>
      <c r="B14" s="204">
        <v>58</v>
      </c>
      <c r="C14" s="204">
        <v>326</v>
      </c>
      <c r="D14" s="246">
        <f t="shared" si="0"/>
        <v>384</v>
      </c>
    </row>
    <row r="15" spans="1:15" ht="18" customHeight="1">
      <c r="A15" s="245" t="s">
        <v>138</v>
      </c>
      <c r="B15" s="204">
        <v>301</v>
      </c>
      <c r="C15" s="204">
        <v>179</v>
      </c>
      <c r="D15" s="246">
        <f t="shared" si="0"/>
        <v>480</v>
      </c>
    </row>
    <row r="16" spans="1:15" ht="18" customHeight="1">
      <c r="A16" s="247" t="s">
        <v>14</v>
      </c>
      <c r="B16" s="248">
        <f>SUM(B8:B15)</f>
        <v>1606</v>
      </c>
      <c r="C16" s="248">
        <f>SUM(C8:C15)</f>
        <v>2198</v>
      </c>
      <c r="D16" s="249">
        <f>SUM(D8:D15)</f>
        <v>3804</v>
      </c>
    </row>
    <row r="17" spans="1:6" ht="57.95" customHeight="1">
      <c r="A17" s="478" t="s">
        <v>139</v>
      </c>
      <c r="B17" s="478"/>
      <c r="C17" s="478"/>
      <c r="D17" s="478"/>
    </row>
    <row r="18" spans="1:6" ht="15" customHeight="1">
      <c r="A18" s="250"/>
      <c r="B18" s="250"/>
      <c r="C18" s="250"/>
      <c r="D18" s="250"/>
    </row>
    <row r="19" spans="1:6" ht="15" customHeight="1">
      <c r="A19" s="479" t="s">
        <v>140</v>
      </c>
      <c r="B19" s="480"/>
      <c r="C19" s="480"/>
      <c r="D19" s="480"/>
      <c r="E19" s="480"/>
      <c r="F19" s="481"/>
    </row>
    <row r="20" spans="1:6" ht="15" customHeight="1">
      <c r="A20" s="493" t="s">
        <v>81</v>
      </c>
      <c r="B20" s="494"/>
      <c r="C20" s="484" t="s">
        <v>141</v>
      </c>
      <c r="D20" s="484" t="s">
        <v>142</v>
      </c>
      <c r="E20" s="484" t="s">
        <v>143</v>
      </c>
      <c r="F20" s="486" t="s">
        <v>144</v>
      </c>
    </row>
    <row r="21" spans="1:6" ht="32.1" customHeight="1">
      <c r="A21" s="495"/>
      <c r="B21" s="496"/>
      <c r="C21" s="485"/>
      <c r="D21" s="485"/>
      <c r="E21" s="485"/>
      <c r="F21" s="487"/>
    </row>
    <row r="22" spans="1:6" ht="15" customHeight="1">
      <c r="A22" s="482" t="str">
        <f>A8</f>
        <v>Colonoscopia</v>
      </c>
      <c r="B22" s="483"/>
      <c r="C22" s="251">
        <v>110</v>
      </c>
      <c r="D22" s="251">
        <v>92</v>
      </c>
      <c r="E22" s="251">
        <v>76</v>
      </c>
      <c r="F22" s="252">
        <f>D22-E22</f>
        <v>16</v>
      </c>
    </row>
    <row r="23" spans="1:6" ht="15" customHeight="1">
      <c r="A23" s="482" t="str">
        <f t="shared" ref="A23:A30" si="1">A9</f>
        <v>Endoscopia</v>
      </c>
      <c r="B23" s="483"/>
      <c r="C23" s="251">
        <v>234</v>
      </c>
      <c r="D23" s="251">
        <v>210</v>
      </c>
      <c r="E23" s="251">
        <v>190</v>
      </c>
      <c r="F23" s="252">
        <f t="shared" ref="F23:F29" si="2">D23-E23</f>
        <v>20</v>
      </c>
    </row>
    <row r="24" spans="1:6" ht="15" customHeight="1">
      <c r="A24" s="482" t="str">
        <f t="shared" si="1"/>
        <v>Exames de Anatomia Patológica</v>
      </c>
      <c r="B24" s="483"/>
      <c r="C24" s="251">
        <v>0</v>
      </c>
      <c r="D24" s="251">
        <v>0</v>
      </c>
      <c r="E24" s="251">
        <v>0</v>
      </c>
      <c r="F24" s="252">
        <f t="shared" si="2"/>
        <v>0</v>
      </c>
    </row>
    <row r="25" spans="1:6" ht="15" customHeight="1">
      <c r="A25" s="482" t="str">
        <f t="shared" si="1"/>
        <v>Mamografia</v>
      </c>
      <c r="B25" s="483"/>
      <c r="C25" s="251">
        <v>220</v>
      </c>
      <c r="D25" s="251">
        <v>207</v>
      </c>
      <c r="E25" s="251">
        <v>161</v>
      </c>
      <c r="F25" s="252">
        <f t="shared" si="2"/>
        <v>46</v>
      </c>
    </row>
    <row r="26" spans="1:6" ht="15" customHeight="1">
      <c r="A26" s="482" t="str">
        <f t="shared" si="1"/>
        <v>Radiologia</v>
      </c>
      <c r="B26" s="483"/>
      <c r="C26" s="251">
        <v>953</v>
      </c>
      <c r="D26" s="251">
        <v>949</v>
      </c>
      <c r="E26" s="251">
        <v>816</v>
      </c>
      <c r="F26" s="252">
        <f t="shared" si="2"/>
        <v>133</v>
      </c>
    </row>
    <row r="27" spans="1:6" ht="15" customHeight="1">
      <c r="A27" s="482" t="str">
        <f t="shared" si="1"/>
        <v>Retinografia Colorida Binocular</v>
      </c>
      <c r="B27" s="483"/>
      <c r="C27" s="251">
        <v>6</v>
      </c>
      <c r="D27" s="251">
        <v>6</v>
      </c>
      <c r="E27" s="251">
        <v>4</v>
      </c>
      <c r="F27" s="252">
        <f t="shared" si="2"/>
        <v>2</v>
      </c>
    </row>
    <row r="28" spans="1:6" ht="15" customHeight="1">
      <c r="A28" s="482" t="str">
        <f t="shared" si="1"/>
        <v>Tomografia/Angiotomografia</v>
      </c>
      <c r="B28" s="483"/>
      <c r="C28" s="251">
        <v>120</v>
      </c>
      <c r="D28" s="251">
        <v>70</v>
      </c>
      <c r="E28" s="251">
        <v>58</v>
      </c>
      <c r="F28" s="252">
        <f t="shared" si="2"/>
        <v>12</v>
      </c>
    </row>
    <row r="29" spans="1:6" ht="15" customHeight="1">
      <c r="A29" s="482" t="str">
        <f t="shared" si="1"/>
        <v>Ultrassonografia</v>
      </c>
      <c r="B29" s="483"/>
      <c r="C29" s="251">
        <v>520</v>
      </c>
      <c r="D29" s="251">
        <v>362</v>
      </c>
      <c r="E29" s="251">
        <v>301</v>
      </c>
      <c r="F29" s="252">
        <f t="shared" si="2"/>
        <v>61</v>
      </c>
    </row>
    <row r="30" spans="1:6" ht="15" customHeight="1">
      <c r="A30" s="497" t="str">
        <f t="shared" si="1"/>
        <v>Total</v>
      </c>
      <c r="B30" s="498"/>
      <c r="C30" s="248">
        <f>SUM(C22:C29)</f>
        <v>2163</v>
      </c>
      <c r="D30" s="248">
        <f>SUM(D22:D29)</f>
        <v>1896</v>
      </c>
      <c r="E30" s="248">
        <f>SUM(E22:E29)</f>
        <v>1606</v>
      </c>
      <c r="F30" s="249">
        <f>SUM(F22:F29)</f>
        <v>290</v>
      </c>
    </row>
    <row r="31" spans="1:6" ht="15" customHeight="1">
      <c r="A31" s="482"/>
      <c r="B31" s="483"/>
      <c r="C31" s="250"/>
      <c r="D31" s="250"/>
    </row>
    <row r="32" spans="1:6" ht="18" customHeight="1">
      <c r="A32" s="488" t="s">
        <v>145</v>
      </c>
      <c r="B32" s="489"/>
      <c r="C32" s="489"/>
      <c r="D32" s="490"/>
    </row>
    <row r="33" spans="1:5" ht="18" customHeight="1">
      <c r="A33" s="253"/>
      <c r="B33" s="254"/>
      <c r="C33" s="254"/>
      <c r="D33" s="255" t="s">
        <v>146</v>
      </c>
    </row>
    <row r="34" spans="1:5" ht="18" customHeight="1">
      <c r="A34" s="256" t="s">
        <v>147</v>
      </c>
      <c r="B34" s="254"/>
      <c r="C34" s="254"/>
      <c r="D34" s="257">
        <v>0</v>
      </c>
    </row>
    <row r="35" spans="1:5" ht="18" customHeight="1">
      <c r="A35" s="256" t="s">
        <v>148</v>
      </c>
      <c r="B35" s="254"/>
      <c r="C35" s="254"/>
      <c r="D35" s="257">
        <v>356</v>
      </c>
    </row>
    <row r="36" spans="1:5" ht="18" customHeight="1">
      <c r="A36" s="256" t="s">
        <v>149</v>
      </c>
      <c r="B36" s="254"/>
      <c r="C36" s="254"/>
      <c r="D36" s="257">
        <v>8</v>
      </c>
    </row>
    <row r="37" spans="1:5" ht="18" customHeight="1">
      <c r="A37" s="256" t="s">
        <v>150</v>
      </c>
      <c r="B37" s="254"/>
      <c r="C37" s="254"/>
      <c r="D37" s="257">
        <v>15</v>
      </c>
    </row>
    <row r="38" spans="1:5" ht="18" customHeight="1">
      <c r="A38" s="256" t="s">
        <v>151</v>
      </c>
      <c r="B38" s="254"/>
      <c r="C38" s="254"/>
      <c r="D38" s="257">
        <v>0</v>
      </c>
      <c r="E38" s="258"/>
    </row>
    <row r="39" spans="1:5" ht="18" customHeight="1">
      <c r="A39" s="256" t="s">
        <v>152</v>
      </c>
      <c r="B39" s="254"/>
      <c r="C39" s="254"/>
      <c r="D39" s="259">
        <v>326</v>
      </c>
    </row>
    <row r="40" spans="1:5" ht="18" customHeight="1">
      <c r="A40" s="256" t="s">
        <v>153</v>
      </c>
      <c r="B40" s="254"/>
      <c r="C40" s="254"/>
      <c r="D40" s="234">
        <v>136</v>
      </c>
    </row>
    <row r="41" spans="1:5" ht="18" customHeight="1">
      <c r="A41" s="260" t="s">
        <v>154</v>
      </c>
      <c r="B41" s="261"/>
      <c r="C41" s="261"/>
      <c r="D41" s="262">
        <v>133</v>
      </c>
    </row>
    <row r="42" spans="1:5" ht="18" customHeight="1">
      <c r="A42" s="256" t="s">
        <v>155</v>
      </c>
      <c r="B42" s="254"/>
      <c r="C42" s="254"/>
      <c r="D42" s="234">
        <v>5690</v>
      </c>
    </row>
    <row r="43" spans="1:5" ht="18" customHeight="1">
      <c r="A43" s="263" t="s">
        <v>14</v>
      </c>
      <c r="B43" s="264"/>
      <c r="C43" s="264"/>
      <c r="D43" s="265">
        <f>SUM(D34:D42)</f>
        <v>6664</v>
      </c>
    </row>
    <row r="44" spans="1:5" ht="18" customHeight="1">
      <c r="A44" s="256"/>
      <c r="B44" s="254"/>
      <c r="C44" s="254"/>
      <c r="D44" s="266"/>
    </row>
    <row r="45" spans="1:5" ht="18" customHeight="1">
      <c r="A45" s="488" t="s">
        <v>156</v>
      </c>
      <c r="B45" s="489"/>
      <c r="C45" s="489"/>
      <c r="D45" s="490"/>
    </row>
    <row r="46" spans="1:5" ht="18" customHeight="1">
      <c r="A46" s="491"/>
      <c r="B46" s="492"/>
      <c r="C46" s="492"/>
      <c r="D46" s="255" t="s">
        <v>146</v>
      </c>
    </row>
    <row r="47" spans="1:5" ht="18" customHeight="1">
      <c r="A47" s="256" t="s">
        <v>147</v>
      </c>
      <c r="B47" s="254"/>
      <c r="C47" s="254"/>
      <c r="D47" s="234">
        <v>0</v>
      </c>
    </row>
    <row r="48" spans="1:5" ht="18" customHeight="1">
      <c r="A48" s="256" t="s">
        <v>148</v>
      </c>
      <c r="B48" s="254"/>
      <c r="C48" s="254"/>
      <c r="D48" s="234">
        <v>6</v>
      </c>
    </row>
    <row r="49" spans="1:5" ht="18" customHeight="1">
      <c r="A49" s="256" t="s">
        <v>149</v>
      </c>
      <c r="B49" s="254"/>
      <c r="C49" s="254"/>
      <c r="D49" s="234">
        <v>0</v>
      </c>
    </row>
    <row r="50" spans="1:5" ht="18" customHeight="1">
      <c r="A50" s="256" t="s">
        <v>150</v>
      </c>
      <c r="B50" s="254"/>
      <c r="C50" s="254"/>
      <c r="D50" s="234">
        <v>9</v>
      </c>
    </row>
    <row r="51" spans="1:5" ht="18" customHeight="1">
      <c r="A51" s="256" t="s">
        <v>151</v>
      </c>
      <c r="B51" s="254"/>
      <c r="C51" s="254"/>
      <c r="D51" s="234">
        <v>0</v>
      </c>
    </row>
    <row r="52" spans="1:5" ht="18" customHeight="1">
      <c r="A52" s="256" t="s">
        <v>152</v>
      </c>
      <c r="B52" s="254"/>
      <c r="C52" s="254"/>
      <c r="D52" s="257">
        <v>1331</v>
      </c>
    </row>
    <row r="53" spans="1:5" ht="18" customHeight="1">
      <c r="A53" s="256" t="s">
        <v>153</v>
      </c>
      <c r="B53" s="254"/>
      <c r="C53" s="254"/>
      <c r="D53" s="257">
        <v>828</v>
      </c>
    </row>
    <row r="54" spans="1:5" ht="18" customHeight="1">
      <c r="A54" s="260" t="s">
        <v>154</v>
      </c>
      <c r="B54" s="261"/>
      <c r="C54" s="261"/>
      <c r="D54" s="262">
        <v>200</v>
      </c>
    </row>
    <row r="55" spans="1:5" ht="18" customHeight="1">
      <c r="A55" s="256" t="s">
        <v>155</v>
      </c>
      <c r="B55" s="254"/>
      <c r="C55" s="254"/>
      <c r="D55" s="257">
        <v>8475</v>
      </c>
    </row>
    <row r="56" spans="1:5" ht="18" customHeight="1">
      <c r="A56" s="263" t="s">
        <v>14</v>
      </c>
      <c r="B56" s="264"/>
      <c r="C56" s="264"/>
      <c r="D56" s="265">
        <f>SUM(D47:D55)</f>
        <v>10849</v>
      </c>
    </row>
    <row r="57" spans="1:5" ht="18" customHeight="1">
      <c r="A57" s="256"/>
      <c r="B57" s="254"/>
      <c r="C57" s="254"/>
      <c r="D57" s="267"/>
    </row>
    <row r="58" spans="1:5" ht="18" customHeight="1">
      <c r="A58" s="256"/>
      <c r="B58" s="254"/>
      <c r="C58" s="254"/>
      <c r="D58" s="254"/>
    </row>
    <row r="60" spans="1:5" ht="18" customHeight="1">
      <c r="A60" s="256"/>
      <c r="B60" s="254"/>
      <c r="C60" s="254"/>
      <c r="D60" s="254"/>
    </row>
    <row r="64" spans="1:5" ht="48" customHeight="1">
      <c r="E64" s="268"/>
    </row>
    <row r="65" spans="5:5" ht="18" customHeight="1">
      <c r="E65" s="268"/>
    </row>
    <row r="74" spans="5:5" ht="60" customHeight="1"/>
  </sheetData>
  <mergeCells count="24"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  <mergeCell ref="A19:F19"/>
    <mergeCell ref="A22:B22"/>
    <mergeCell ref="A23:B23"/>
    <mergeCell ref="A24:B24"/>
    <mergeCell ref="A25:B25"/>
    <mergeCell ref="E20:E21"/>
    <mergeCell ref="F20:F21"/>
    <mergeCell ref="A1:F1"/>
    <mergeCell ref="B3:D3"/>
    <mergeCell ref="B4:D4"/>
    <mergeCell ref="A6:D6"/>
    <mergeCell ref="A17:D17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83"/>
  <sheetViews>
    <sheetView view="pageBreakPreview" zoomScaleNormal="100" zoomScaleSheetLayoutView="100" zoomScalePageLayoutView="80" workbookViewId="0">
      <selection activeCell="B27" sqref="B27"/>
    </sheetView>
  </sheetViews>
  <sheetFormatPr defaultColWidth="9.140625" defaultRowHeight="19.5" customHeight="1"/>
  <cols>
    <col min="1" max="1" width="16.7109375" style="203" customWidth="1"/>
    <col min="2" max="2" width="45" style="203" customWidth="1"/>
    <col min="3" max="3" width="20.5703125" style="204" customWidth="1"/>
    <col min="4" max="4" width="4.140625" style="203" customWidth="1"/>
    <col min="5" max="16384" width="9.140625" style="203"/>
  </cols>
  <sheetData>
    <row r="1" spans="1:12" ht="19.5" customHeight="1">
      <c r="A1" s="425" t="s">
        <v>157</v>
      </c>
      <c r="B1" s="426"/>
      <c r="C1" s="426"/>
      <c r="D1" s="205"/>
      <c r="E1" s="205"/>
      <c r="F1" s="205"/>
      <c r="G1" s="205"/>
      <c r="H1" s="205"/>
      <c r="I1" s="205"/>
      <c r="J1" s="240"/>
      <c r="K1" s="241"/>
      <c r="L1" s="241"/>
    </row>
    <row r="2" spans="1:12" ht="19.5" customHeight="1">
      <c r="A2" s="206"/>
    </row>
    <row r="3" spans="1:12" ht="19.5" customHeight="1">
      <c r="A3" s="207" t="s">
        <v>6</v>
      </c>
      <c r="B3" s="499" t="s">
        <v>3</v>
      </c>
      <c r="C3" s="499"/>
    </row>
    <row r="4" spans="1:12" ht="19.5" customHeight="1">
      <c r="A4" s="207" t="s">
        <v>7</v>
      </c>
      <c r="B4" s="448">
        <v>46113</v>
      </c>
      <c r="C4" s="448"/>
    </row>
    <row r="5" spans="1:12" ht="19.5" customHeight="1">
      <c r="A5" s="206"/>
    </row>
    <row r="6" spans="1:12" ht="19.5" customHeight="1">
      <c r="A6" s="500" t="s">
        <v>158</v>
      </c>
      <c r="B6" s="501"/>
      <c r="C6" s="502"/>
    </row>
    <row r="7" spans="1:12" ht="19.5" customHeight="1">
      <c r="A7" s="503"/>
      <c r="B7" s="504"/>
      <c r="C7" s="209" t="s">
        <v>42</v>
      </c>
    </row>
    <row r="8" spans="1:12" ht="19.5" customHeight="1">
      <c r="A8" s="505" t="s">
        <v>159</v>
      </c>
      <c r="B8" s="506"/>
      <c r="C8" s="210">
        <f>C145</f>
        <v>406</v>
      </c>
    </row>
    <row r="9" spans="1:12" ht="19.5" customHeight="1">
      <c r="A9" s="505" t="s">
        <v>160</v>
      </c>
      <c r="B9" s="506"/>
      <c r="C9" s="210">
        <f>C175</f>
        <v>84</v>
      </c>
    </row>
    <row r="10" spans="1:12" ht="19.5" customHeight="1">
      <c r="A10" s="507" t="s">
        <v>161</v>
      </c>
      <c r="B10" s="508"/>
      <c r="C10" s="211">
        <f>SUM(C8:C9)</f>
        <v>490</v>
      </c>
    </row>
    <row r="11" spans="1:12" ht="19.5" customHeight="1">
      <c r="A11" s="212"/>
      <c r="B11" s="213"/>
      <c r="C11" s="213"/>
    </row>
    <row r="12" spans="1:12" ht="19.5" customHeight="1">
      <c r="A12" s="509" t="s">
        <v>162</v>
      </c>
      <c r="B12" s="510"/>
      <c r="C12" s="511"/>
    </row>
    <row r="13" spans="1:12" ht="19.5" customHeight="1">
      <c r="A13" s="512"/>
      <c r="B13" s="513"/>
      <c r="C13" s="214" t="s">
        <v>42</v>
      </c>
    </row>
    <row r="14" spans="1:12" ht="19.5" customHeight="1">
      <c r="A14" s="514" t="s">
        <v>163</v>
      </c>
      <c r="B14" s="515"/>
      <c r="C14" s="216">
        <v>127</v>
      </c>
    </row>
    <row r="15" spans="1:12" ht="19.5" customHeight="1">
      <c r="A15" s="514" t="s">
        <v>164</v>
      </c>
      <c r="B15" s="515"/>
      <c r="C15" s="216">
        <v>363</v>
      </c>
    </row>
    <row r="16" spans="1:12" ht="19.5" customHeight="1">
      <c r="A16" s="507" t="s">
        <v>161</v>
      </c>
      <c r="B16" s="508"/>
      <c r="C16" s="217">
        <f>SUM(C14:C15)</f>
        <v>490</v>
      </c>
      <c r="D16" s="218" t="str">
        <f>IF(C16=C10,"ok","rever")</f>
        <v>ok</v>
      </c>
    </row>
    <row r="17" spans="1:3" ht="48.95" customHeight="1">
      <c r="A17" s="516" t="s">
        <v>165</v>
      </c>
      <c r="B17" s="517"/>
      <c r="C17" s="517"/>
    </row>
    <row r="18" spans="1:3" ht="19.5" customHeight="1">
      <c r="A18" s="518"/>
      <c r="B18" s="519"/>
      <c r="C18" s="219"/>
    </row>
    <row r="19" spans="1:3" ht="19.5" customHeight="1">
      <c r="A19" s="427" t="s">
        <v>166</v>
      </c>
      <c r="B19" s="428"/>
      <c r="C19" s="429"/>
    </row>
    <row r="20" spans="1:3" ht="19.5" customHeight="1">
      <c r="A20" s="520"/>
      <c r="B20" s="521"/>
      <c r="C20" s="220" t="s">
        <v>42</v>
      </c>
    </row>
    <row r="21" spans="1:3" ht="19.5" customHeight="1">
      <c r="A21" s="522" t="s">
        <v>167</v>
      </c>
      <c r="B21" s="523"/>
      <c r="C21" s="221">
        <f>C14/C16</f>
        <v>0.25918367346938775</v>
      </c>
    </row>
    <row r="22" spans="1:3" ht="19.5" customHeight="1">
      <c r="A22" s="524" t="s">
        <v>168</v>
      </c>
      <c r="B22" s="525"/>
      <c r="C22" s="222">
        <f>C15/C16</f>
        <v>0.74081632653061225</v>
      </c>
    </row>
    <row r="23" spans="1:3" ht="19.5" customHeight="1">
      <c r="A23" s="453"/>
      <c r="B23" s="453"/>
      <c r="C23" s="220"/>
    </row>
    <row r="24" spans="1:3" ht="19.5" customHeight="1">
      <c r="A24" s="509" t="s">
        <v>169</v>
      </c>
      <c r="B24" s="510"/>
      <c r="C24" s="511"/>
    </row>
    <row r="25" spans="1:3" ht="19.5" customHeight="1">
      <c r="A25" s="512"/>
      <c r="B25" s="513"/>
      <c r="C25" s="214" t="s">
        <v>42</v>
      </c>
    </row>
    <row r="26" spans="1:3" ht="19.5" customHeight="1">
      <c r="A26" s="530" t="s">
        <v>170</v>
      </c>
      <c r="B26" s="531"/>
      <c r="C26" s="224">
        <v>4</v>
      </c>
    </row>
    <row r="27" spans="1:3" ht="19.5" customHeight="1">
      <c r="A27" s="223"/>
      <c r="B27" s="223"/>
      <c r="C27" s="225"/>
    </row>
    <row r="29" spans="1:3" ht="19.5" customHeight="1" thickBot="1">
      <c r="A29" s="509" t="s">
        <v>171</v>
      </c>
      <c r="B29" s="510"/>
      <c r="C29" s="511"/>
    </row>
    <row r="30" spans="1:3" ht="19.5" customHeight="1">
      <c r="A30" s="233" t="s">
        <v>172</v>
      </c>
      <c r="B30" s="215" t="s">
        <v>173</v>
      </c>
      <c r="C30" s="399" t="s">
        <v>42</v>
      </c>
    </row>
    <row r="31" spans="1:3" ht="19.5" customHeight="1">
      <c r="A31" s="233" t="s">
        <v>792</v>
      </c>
      <c r="B31" s="215" t="s">
        <v>678</v>
      </c>
      <c r="C31" s="400">
        <v>35</v>
      </c>
    </row>
    <row r="32" spans="1:3" ht="19.5" customHeight="1">
      <c r="A32" s="233" t="s">
        <v>793</v>
      </c>
      <c r="B32" s="215" t="s">
        <v>679</v>
      </c>
      <c r="C32" s="400">
        <v>27</v>
      </c>
    </row>
    <row r="33" spans="1:3" ht="19.5" customHeight="1">
      <c r="A33" s="233" t="s">
        <v>794</v>
      </c>
      <c r="B33" s="215" t="s">
        <v>680</v>
      </c>
      <c r="C33" s="400">
        <v>23</v>
      </c>
    </row>
    <row r="34" spans="1:3" ht="19.5" customHeight="1">
      <c r="A34" s="233" t="s">
        <v>795</v>
      </c>
      <c r="B34" s="215" t="s">
        <v>681</v>
      </c>
      <c r="C34" s="400">
        <v>20</v>
      </c>
    </row>
    <row r="35" spans="1:3" ht="19.5" customHeight="1">
      <c r="A35" s="233" t="s">
        <v>796</v>
      </c>
      <c r="B35" s="215" t="s">
        <v>682</v>
      </c>
      <c r="C35" s="400">
        <v>16</v>
      </c>
    </row>
    <row r="36" spans="1:3" ht="34.5" customHeight="1">
      <c r="A36" s="233" t="s">
        <v>797</v>
      </c>
      <c r="B36" s="215" t="s">
        <v>683</v>
      </c>
      <c r="C36" s="400">
        <v>14</v>
      </c>
    </row>
    <row r="37" spans="1:3" ht="30.75" customHeight="1">
      <c r="A37" s="233" t="s">
        <v>798</v>
      </c>
      <c r="B37" s="215" t="s">
        <v>684</v>
      </c>
      <c r="C37" s="400">
        <v>10</v>
      </c>
    </row>
    <row r="38" spans="1:3" ht="36.75" customHeight="1">
      <c r="A38" s="233" t="s">
        <v>799</v>
      </c>
      <c r="B38" s="215" t="s">
        <v>685</v>
      </c>
      <c r="C38" s="400">
        <v>9</v>
      </c>
    </row>
    <row r="39" spans="1:3" ht="19.5" customHeight="1">
      <c r="A39" s="233" t="s">
        <v>800</v>
      </c>
      <c r="B39" s="215" t="s">
        <v>686</v>
      </c>
      <c r="C39" s="400">
        <v>9</v>
      </c>
    </row>
    <row r="40" spans="1:3" ht="34.5" customHeight="1">
      <c r="A40" s="233" t="s">
        <v>801</v>
      </c>
      <c r="B40" s="215" t="s">
        <v>687</v>
      </c>
      <c r="C40" s="400">
        <v>9</v>
      </c>
    </row>
    <row r="41" spans="1:3" ht="31.5" customHeight="1">
      <c r="A41" s="233" t="s">
        <v>802</v>
      </c>
      <c r="B41" s="215" t="s">
        <v>688</v>
      </c>
      <c r="C41" s="400">
        <v>8</v>
      </c>
    </row>
    <row r="42" spans="1:3" ht="36.75" customHeight="1">
      <c r="A42" s="233" t="s">
        <v>803</v>
      </c>
      <c r="B42" s="215" t="s">
        <v>689</v>
      </c>
      <c r="C42" s="400">
        <v>7</v>
      </c>
    </row>
    <row r="43" spans="1:3" ht="19.5" customHeight="1">
      <c r="A43" s="233" t="s">
        <v>804</v>
      </c>
      <c r="B43" s="215" t="s">
        <v>690</v>
      </c>
      <c r="C43" s="400">
        <v>7</v>
      </c>
    </row>
    <row r="44" spans="1:3" ht="19.5" customHeight="1">
      <c r="A44" s="233" t="s">
        <v>805</v>
      </c>
      <c r="B44" s="215" t="s">
        <v>691</v>
      </c>
      <c r="C44" s="400">
        <v>7</v>
      </c>
    </row>
    <row r="45" spans="1:3" ht="33" customHeight="1">
      <c r="A45" s="233" t="s">
        <v>806</v>
      </c>
      <c r="B45" s="215" t="s">
        <v>692</v>
      </c>
      <c r="C45" s="400">
        <v>7</v>
      </c>
    </row>
    <row r="46" spans="1:3" ht="34.5" customHeight="1">
      <c r="A46" s="233" t="s">
        <v>807</v>
      </c>
      <c r="B46" s="215" t="s">
        <v>693</v>
      </c>
      <c r="C46" s="400">
        <v>6</v>
      </c>
    </row>
    <row r="47" spans="1:3" ht="19.5" customHeight="1">
      <c r="A47" s="233" t="s">
        <v>808</v>
      </c>
      <c r="B47" s="215" t="s">
        <v>694</v>
      </c>
      <c r="C47" s="400">
        <v>6</v>
      </c>
    </row>
    <row r="48" spans="1:3" ht="31.5" customHeight="1">
      <c r="A48" s="233" t="s">
        <v>809</v>
      </c>
      <c r="B48" s="215" t="s">
        <v>695</v>
      </c>
      <c r="C48" s="400">
        <v>5</v>
      </c>
    </row>
    <row r="49" spans="1:3" ht="34.5" customHeight="1">
      <c r="A49" s="233" t="s">
        <v>810</v>
      </c>
      <c r="B49" s="215" t="s">
        <v>696</v>
      </c>
      <c r="C49" s="400">
        <v>5</v>
      </c>
    </row>
    <row r="50" spans="1:3" ht="33" customHeight="1">
      <c r="A50" s="233" t="s">
        <v>811</v>
      </c>
      <c r="B50" s="215" t="s">
        <v>697</v>
      </c>
      <c r="C50" s="400">
        <v>5</v>
      </c>
    </row>
    <row r="51" spans="1:3" ht="19.5" customHeight="1">
      <c r="A51" s="233" t="s">
        <v>812</v>
      </c>
      <c r="B51" s="215" t="s">
        <v>698</v>
      </c>
      <c r="C51" s="400">
        <v>5</v>
      </c>
    </row>
    <row r="52" spans="1:3" ht="28.5" customHeight="1">
      <c r="A52" s="233" t="s">
        <v>813</v>
      </c>
      <c r="B52" s="215" t="s">
        <v>699</v>
      </c>
      <c r="C52" s="400">
        <v>5</v>
      </c>
    </row>
    <row r="53" spans="1:3" ht="19.5" customHeight="1">
      <c r="A53" s="233" t="s">
        <v>814</v>
      </c>
      <c r="B53" s="215" t="s">
        <v>700</v>
      </c>
      <c r="C53" s="400">
        <v>4</v>
      </c>
    </row>
    <row r="54" spans="1:3" ht="19.5" customHeight="1">
      <c r="A54" s="233" t="s">
        <v>815</v>
      </c>
      <c r="B54" s="215" t="s">
        <v>701</v>
      </c>
      <c r="C54" s="400">
        <v>4</v>
      </c>
    </row>
    <row r="55" spans="1:3" ht="19.5" customHeight="1">
      <c r="A55" s="233" t="s">
        <v>816</v>
      </c>
      <c r="B55" s="215" t="s">
        <v>702</v>
      </c>
      <c r="C55" s="400">
        <v>4</v>
      </c>
    </row>
    <row r="56" spans="1:3" ht="30.75" customHeight="1">
      <c r="A56" s="233" t="s">
        <v>817</v>
      </c>
      <c r="B56" s="215" t="s">
        <v>703</v>
      </c>
      <c r="C56" s="400">
        <v>4</v>
      </c>
    </row>
    <row r="57" spans="1:3" ht="45.75" customHeight="1">
      <c r="A57" s="233" t="s">
        <v>818</v>
      </c>
      <c r="B57" s="215" t="s">
        <v>704</v>
      </c>
      <c r="C57" s="400">
        <v>4</v>
      </c>
    </row>
    <row r="58" spans="1:3" ht="30" customHeight="1">
      <c r="A58" s="233" t="s">
        <v>819</v>
      </c>
      <c r="B58" s="215" t="s">
        <v>705</v>
      </c>
      <c r="C58" s="400">
        <v>4</v>
      </c>
    </row>
    <row r="59" spans="1:3" ht="19.5" customHeight="1">
      <c r="A59" s="233" t="s">
        <v>820</v>
      </c>
      <c r="B59" s="215" t="s">
        <v>706</v>
      </c>
      <c r="C59" s="400">
        <v>4</v>
      </c>
    </row>
    <row r="60" spans="1:3" ht="19.5" customHeight="1">
      <c r="A60" s="233" t="s">
        <v>821</v>
      </c>
      <c r="B60" s="215" t="s">
        <v>707</v>
      </c>
      <c r="C60" s="400">
        <v>3</v>
      </c>
    </row>
    <row r="61" spans="1:3" ht="19.5" customHeight="1">
      <c r="A61" s="233" t="s">
        <v>822</v>
      </c>
      <c r="B61" s="215" t="s">
        <v>708</v>
      </c>
      <c r="C61" s="400">
        <v>3</v>
      </c>
    </row>
    <row r="62" spans="1:3" ht="19.5" customHeight="1">
      <c r="A62" s="233" t="s">
        <v>823</v>
      </c>
      <c r="B62" s="215" t="s">
        <v>709</v>
      </c>
      <c r="C62" s="400">
        <v>3</v>
      </c>
    </row>
    <row r="63" spans="1:3" ht="19.5" customHeight="1">
      <c r="A63" s="233" t="s">
        <v>824</v>
      </c>
      <c r="B63" s="215" t="s">
        <v>710</v>
      </c>
      <c r="C63" s="400">
        <v>3</v>
      </c>
    </row>
    <row r="64" spans="1:3" ht="53.25" customHeight="1">
      <c r="A64" s="233" t="s">
        <v>825</v>
      </c>
      <c r="B64" s="215" t="s">
        <v>711</v>
      </c>
      <c r="C64" s="400">
        <v>3</v>
      </c>
    </row>
    <row r="65" spans="1:3" ht="31.5" customHeight="1">
      <c r="A65" s="233" t="s">
        <v>826</v>
      </c>
      <c r="B65" s="215" t="s">
        <v>712</v>
      </c>
      <c r="C65" s="400">
        <v>3</v>
      </c>
    </row>
    <row r="66" spans="1:3" ht="39" customHeight="1">
      <c r="A66" s="233" t="s">
        <v>827</v>
      </c>
      <c r="B66" s="215" t="s">
        <v>713</v>
      </c>
      <c r="C66" s="400">
        <v>3</v>
      </c>
    </row>
    <row r="67" spans="1:3" ht="34.5" customHeight="1">
      <c r="A67" s="233" t="s">
        <v>828</v>
      </c>
      <c r="B67" s="215" t="s">
        <v>714</v>
      </c>
      <c r="C67" s="400">
        <v>3</v>
      </c>
    </row>
    <row r="68" spans="1:3" ht="34.5" customHeight="1">
      <c r="A68" s="233" t="s">
        <v>829</v>
      </c>
      <c r="B68" s="215" t="s">
        <v>715</v>
      </c>
      <c r="C68" s="400">
        <v>3</v>
      </c>
    </row>
    <row r="69" spans="1:3" ht="19.5" customHeight="1">
      <c r="A69" s="233" t="s">
        <v>830</v>
      </c>
      <c r="B69" s="215" t="s">
        <v>716</v>
      </c>
      <c r="C69" s="400">
        <v>3</v>
      </c>
    </row>
    <row r="70" spans="1:3" ht="30.75" customHeight="1">
      <c r="A70" s="233" t="s">
        <v>831</v>
      </c>
      <c r="B70" s="215" t="s">
        <v>717</v>
      </c>
      <c r="C70" s="400">
        <v>3</v>
      </c>
    </row>
    <row r="71" spans="1:3" ht="38.25" customHeight="1">
      <c r="A71" s="233" t="s">
        <v>832</v>
      </c>
      <c r="B71" s="215" t="s">
        <v>718</v>
      </c>
      <c r="C71" s="400">
        <v>3</v>
      </c>
    </row>
    <row r="72" spans="1:3" ht="27" customHeight="1">
      <c r="A72" s="233" t="s">
        <v>833</v>
      </c>
      <c r="B72" s="215" t="s">
        <v>719</v>
      </c>
      <c r="C72" s="400">
        <v>3</v>
      </c>
    </row>
    <row r="73" spans="1:3" ht="19.5" customHeight="1">
      <c r="A73" s="233" t="s">
        <v>834</v>
      </c>
      <c r="B73" s="215" t="s">
        <v>720</v>
      </c>
      <c r="C73" s="400">
        <v>2</v>
      </c>
    </row>
    <row r="74" spans="1:3" ht="19.5" customHeight="1">
      <c r="A74" s="233" t="s">
        <v>835</v>
      </c>
      <c r="B74" s="215" t="s">
        <v>721</v>
      </c>
      <c r="C74" s="400">
        <v>2</v>
      </c>
    </row>
    <row r="75" spans="1:3" ht="32.25" customHeight="1">
      <c r="A75" s="233" t="s">
        <v>836</v>
      </c>
      <c r="B75" s="215" t="s">
        <v>722</v>
      </c>
      <c r="C75" s="400">
        <v>2</v>
      </c>
    </row>
    <row r="76" spans="1:3" ht="19.5" customHeight="1">
      <c r="A76" s="233" t="s">
        <v>837</v>
      </c>
      <c r="B76" s="215" t="s">
        <v>723</v>
      </c>
      <c r="C76" s="400">
        <v>2</v>
      </c>
    </row>
    <row r="77" spans="1:3" ht="19.5" customHeight="1">
      <c r="A77" s="233" t="s">
        <v>838</v>
      </c>
      <c r="B77" s="215" t="s">
        <v>724</v>
      </c>
      <c r="C77" s="400">
        <v>2</v>
      </c>
    </row>
    <row r="78" spans="1:3" ht="36" customHeight="1">
      <c r="A78" s="233" t="s">
        <v>839</v>
      </c>
      <c r="B78" s="215" t="s">
        <v>725</v>
      </c>
      <c r="C78" s="400">
        <v>2</v>
      </c>
    </row>
    <row r="79" spans="1:3" ht="19.5" customHeight="1">
      <c r="A79" s="233" t="s">
        <v>840</v>
      </c>
      <c r="B79" s="215" t="s">
        <v>726</v>
      </c>
      <c r="C79" s="400">
        <v>2</v>
      </c>
    </row>
    <row r="80" spans="1:3" ht="19.5" customHeight="1">
      <c r="A80" s="233" t="s">
        <v>841</v>
      </c>
      <c r="B80" s="215" t="s">
        <v>727</v>
      </c>
      <c r="C80" s="400">
        <v>2</v>
      </c>
    </row>
    <row r="81" spans="1:3" ht="34.5" customHeight="1">
      <c r="A81" s="233" t="s">
        <v>842</v>
      </c>
      <c r="B81" s="215" t="s">
        <v>728</v>
      </c>
      <c r="C81" s="400">
        <v>2</v>
      </c>
    </row>
    <row r="82" spans="1:3" ht="33.75" customHeight="1">
      <c r="A82" s="233" t="s">
        <v>843</v>
      </c>
      <c r="B82" s="215" t="s">
        <v>729</v>
      </c>
      <c r="C82" s="400">
        <v>2</v>
      </c>
    </row>
    <row r="83" spans="1:3" ht="19.5" customHeight="1">
      <c r="A83" s="233" t="s">
        <v>844</v>
      </c>
      <c r="B83" s="215" t="s">
        <v>730</v>
      </c>
      <c r="C83" s="400">
        <v>2</v>
      </c>
    </row>
    <row r="84" spans="1:3" ht="49.5" customHeight="1">
      <c r="A84" s="233" t="s">
        <v>845</v>
      </c>
      <c r="B84" s="215" t="s">
        <v>731</v>
      </c>
      <c r="C84" s="400">
        <v>2</v>
      </c>
    </row>
    <row r="85" spans="1:3" ht="48.75" customHeight="1">
      <c r="A85" s="233" t="s">
        <v>846</v>
      </c>
      <c r="B85" s="215" t="s">
        <v>732</v>
      </c>
      <c r="C85" s="400">
        <v>2</v>
      </c>
    </row>
    <row r="86" spans="1:3" ht="31.5" customHeight="1">
      <c r="A86" s="233" t="s">
        <v>847</v>
      </c>
      <c r="B86" s="215" t="s">
        <v>733</v>
      </c>
      <c r="C86" s="400">
        <v>2</v>
      </c>
    </row>
    <row r="87" spans="1:3" ht="19.5" customHeight="1">
      <c r="A87" s="233" t="s">
        <v>848</v>
      </c>
      <c r="B87" s="215" t="s">
        <v>734</v>
      </c>
      <c r="C87" s="400">
        <v>2</v>
      </c>
    </row>
    <row r="88" spans="1:3" ht="19.5" customHeight="1">
      <c r="A88" s="233" t="s">
        <v>849</v>
      </c>
      <c r="B88" s="215" t="s">
        <v>735</v>
      </c>
      <c r="C88" s="400">
        <v>2</v>
      </c>
    </row>
    <row r="89" spans="1:3" ht="19.5" customHeight="1">
      <c r="A89" s="233" t="s">
        <v>850</v>
      </c>
      <c r="B89" s="215" t="s">
        <v>736</v>
      </c>
      <c r="C89" s="400">
        <v>2</v>
      </c>
    </row>
    <row r="90" spans="1:3" ht="19.5" customHeight="1">
      <c r="A90" s="233" t="s">
        <v>851</v>
      </c>
      <c r="B90" s="215" t="s">
        <v>737</v>
      </c>
      <c r="C90" s="400">
        <v>2</v>
      </c>
    </row>
    <row r="91" spans="1:3" ht="19.5" customHeight="1">
      <c r="A91" s="233" t="s">
        <v>852</v>
      </c>
      <c r="B91" s="215" t="s">
        <v>738</v>
      </c>
      <c r="C91" s="400">
        <v>2</v>
      </c>
    </row>
    <row r="92" spans="1:3" ht="19.5" customHeight="1">
      <c r="A92" s="233" t="s">
        <v>853</v>
      </c>
      <c r="B92" s="215" t="s">
        <v>739</v>
      </c>
      <c r="C92" s="400">
        <v>2</v>
      </c>
    </row>
    <row r="93" spans="1:3" ht="19.5" customHeight="1">
      <c r="A93" s="233" t="s">
        <v>854</v>
      </c>
      <c r="B93" s="215" t="s">
        <v>740</v>
      </c>
      <c r="C93" s="400">
        <v>2</v>
      </c>
    </row>
    <row r="94" spans="1:3" ht="19.5" customHeight="1">
      <c r="A94" s="233" t="s">
        <v>855</v>
      </c>
      <c r="B94" s="215" t="s">
        <v>741</v>
      </c>
      <c r="C94" s="400">
        <v>2</v>
      </c>
    </row>
    <row r="95" spans="1:3" ht="48" customHeight="1">
      <c r="A95" s="233" t="s">
        <v>856</v>
      </c>
      <c r="B95" s="215" t="s">
        <v>742</v>
      </c>
      <c r="C95" s="400">
        <v>1</v>
      </c>
    </row>
    <row r="96" spans="1:3" ht="44.25" customHeight="1">
      <c r="A96" s="233" t="s">
        <v>857</v>
      </c>
      <c r="B96" s="215" t="s">
        <v>743</v>
      </c>
      <c r="C96" s="400">
        <v>1</v>
      </c>
    </row>
    <row r="97" spans="1:3" ht="19.5" customHeight="1">
      <c r="A97" s="233" t="s">
        <v>858</v>
      </c>
      <c r="B97" s="215" t="s">
        <v>744</v>
      </c>
      <c r="C97" s="400">
        <v>1</v>
      </c>
    </row>
    <row r="98" spans="1:3" ht="19.5" customHeight="1">
      <c r="A98" s="233" t="s">
        <v>859</v>
      </c>
      <c r="B98" s="215" t="s">
        <v>745</v>
      </c>
      <c r="C98" s="400">
        <v>1</v>
      </c>
    </row>
    <row r="99" spans="1:3" ht="19.5" customHeight="1">
      <c r="A99" s="233" t="s">
        <v>860</v>
      </c>
      <c r="B99" s="215" t="s">
        <v>746</v>
      </c>
      <c r="C99" s="400">
        <v>1</v>
      </c>
    </row>
    <row r="100" spans="1:3" ht="42.75" customHeight="1">
      <c r="A100" s="233" t="s">
        <v>861</v>
      </c>
      <c r="B100" s="215" t="s">
        <v>747</v>
      </c>
      <c r="C100" s="400">
        <v>1</v>
      </c>
    </row>
    <row r="101" spans="1:3" ht="30.75" customHeight="1">
      <c r="A101" s="233" t="s">
        <v>862</v>
      </c>
      <c r="B101" s="215" t="s">
        <v>748</v>
      </c>
      <c r="C101" s="400">
        <v>1</v>
      </c>
    </row>
    <row r="102" spans="1:3" ht="45.75" customHeight="1">
      <c r="A102" s="233" t="s">
        <v>863</v>
      </c>
      <c r="B102" s="215" t="s">
        <v>749</v>
      </c>
      <c r="C102" s="400">
        <v>1</v>
      </c>
    </row>
    <row r="103" spans="1:3" ht="19.5" customHeight="1">
      <c r="A103" s="233" t="s">
        <v>864</v>
      </c>
      <c r="B103" s="215" t="s">
        <v>750</v>
      </c>
      <c r="C103" s="400">
        <v>1</v>
      </c>
    </row>
    <row r="104" spans="1:3" ht="19.5" customHeight="1">
      <c r="A104" s="233" t="s">
        <v>865</v>
      </c>
      <c r="B104" s="215" t="s">
        <v>751</v>
      </c>
      <c r="C104" s="400">
        <v>1</v>
      </c>
    </row>
    <row r="105" spans="1:3" ht="19.5" customHeight="1">
      <c r="A105" s="233" t="s">
        <v>866</v>
      </c>
      <c r="B105" s="215" t="s">
        <v>752</v>
      </c>
      <c r="C105" s="400">
        <v>1</v>
      </c>
    </row>
    <row r="106" spans="1:3" ht="19.5" customHeight="1">
      <c r="A106" s="233" t="s">
        <v>867</v>
      </c>
      <c r="B106" s="215" t="s">
        <v>753</v>
      </c>
      <c r="C106" s="400">
        <v>1</v>
      </c>
    </row>
    <row r="107" spans="1:3" ht="37.5" customHeight="1">
      <c r="A107" s="233" t="s">
        <v>868</v>
      </c>
      <c r="B107" s="215" t="s">
        <v>754</v>
      </c>
      <c r="C107" s="400">
        <v>1</v>
      </c>
    </row>
    <row r="108" spans="1:3" ht="42" customHeight="1">
      <c r="A108" s="233" t="s">
        <v>869</v>
      </c>
      <c r="B108" s="215" t="s">
        <v>755</v>
      </c>
      <c r="C108" s="400">
        <v>1</v>
      </c>
    </row>
    <row r="109" spans="1:3" ht="33.75" customHeight="1">
      <c r="A109" s="233" t="s">
        <v>870</v>
      </c>
      <c r="B109" s="215" t="s">
        <v>756</v>
      </c>
      <c r="C109" s="400">
        <v>1</v>
      </c>
    </row>
    <row r="110" spans="1:3" ht="19.5" customHeight="1">
      <c r="A110" s="233" t="s">
        <v>871</v>
      </c>
      <c r="B110" s="215" t="s">
        <v>757</v>
      </c>
      <c r="C110" s="400">
        <v>1</v>
      </c>
    </row>
    <row r="111" spans="1:3" ht="46.5" customHeight="1">
      <c r="A111" s="233" t="s">
        <v>872</v>
      </c>
      <c r="B111" s="215" t="s">
        <v>758</v>
      </c>
      <c r="C111" s="400">
        <v>1</v>
      </c>
    </row>
    <row r="112" spans="1:3" ht="19.5" customHeight="1">
      <c r="A112" s="233" t="s">
        <v>873</v>
      </c>
      <c r="B112" s="215" t="s">
        <v>759</v>
      </c>
      <c r="C112" s="400">
        <v>1</v>
      </c>
    </row>
    <row r="113" spans="1:3" ht="19.5" customHeight="1">
      <c r="A113" s="233" t="s">
        <v>874</v>
      </c>
      <c r="B113" s="215" t="s">
        <v>760</v>
      </c>
      <c r="C113" s="400">
        <v>1</v>
      </c>
    </row>
    <row r="114" spans="1:3" ht="19.5" customHeight="1">
      <c r="A114" s="233" t="s">
        <v>875</v>
      </c>
      <c r="B114" s="215" t="s">
        <v>761</v>
      </c>
      <c r="C114" s="400">
        <v>1</v>
      </c>
    </row>
    <row r="115" spans="1:3" ht="38.25" customHeight="1">
      <c r="A115" s="233" t="s">
        <v>876</v>
      </c>
      <c r="B115" s="215" t="s">
        <v>762</v>
      </c>
      <c r="C115" s="400">
        <v>1</v>
      </c>
    </row>
    <row r="116" spans="1:3" ht="19.5" customHeight="1">
      <c r="A116" s="233" t="s">
        <v>877</v>
      </c>
      <c r="B116" s="215" t="s">
        <v>763</v>
      </c>
      <c r="C116" s="400">
        <v>1</v>
      </c>
    </row>
    <row r="117" spans="1:3" ht="36.75" customHeight="1">
      <c r="A117" s="233" t="s">
        <v>878</v>
      </c>
      <c r="B117" s="215" t="s">
        <v>764</v>
      </c>
      <c r="C117" s="400">
        <v>1</v>
      </c>
    </row>
    <row r="118" spans="1:3" ht="36.75" customHeight="1">
      <c r="A118" s="233" t="s">
        <v>879</v>
      </c>
      <c r="B118" s="215" t="s">
        <v>765</v>
      </c>
      <c r="C118" s="400">
        <v>1</v>
      </c>
    </row>
    <row r="119" spans="1:3" ht="19.5" customHeight="1">
      <c r="A119" s="233" t="s">
        <v>880</v>
      </c>
      <c r="B119" s="215" t="s">
        <v>766</v>
      </c>
      <c r="C119" s="400">
        <v>1</v>
      </c>
    </row>
    <row r="120" spans="1:3" ht="19.5" customHeight="1">
      <c r="A120" s="233" t="s">
        <v>881</v>
      </c>
      <c r="B120" s="215" t="s">
        <v>767</v>
      </c>
      <c r="C120" s="400">
        <v>1</v>
      </c>
    </row>
    <row r="121" spans="1:3" ht="31.5" customHeight="1">
      <c r="A121" s="233" t="s">
        <v>882</v>
      </c>
      <c r="B121" s="215" t="s">
        <v>768</v>
      </c>
      <c r="C121" s="400">
        <v>1</v>
      </c>
    </row>
    <row r="122" spans="1:3" ht="19.5" customHeight="1">
      <c r="A122" s="233" t="s">
        <v>883</v>
      </c>
      <c r="B122" s="215" t="s">
        <v>769</v>
      </c>
      <c r="C122" s="400">
        <v>1</v>
      </c>
    </row>
    <row r="123" spans="1:3" ht="19.5" customHeight="1">
      <c r="A123" s="233" t="s">
        <v>884</v>
      </c>
      <c r="B123" s="215" t="s">
        <v>770</v>
      </c>
      <c r="C123" s="400">
        <v>1</v>
      </c>
    </row>
    <row r="124" spans="1:3" ht="19.5" customHeight="1">
      <c r="A124" s="233" t="s">
        <v>885</v>
      </c>
      <c r="B124" s="215" t="s">
        <v>771</v>
      </c>
      <c r="C124" s="400">
        <v>1</v>
      </c>
    </row>
    <row r="125" spans="1:3" ht="19.5" customHeight="1">
      <c r="A125" s="233" t="s">
        <v>886</v>
      </c>
      <c r="B125" s="215" t="s">
        <v>772</v>
      </c>
      <c r="C125" s="400">
        <v>1</v>
      </c>
    </row>
    <row r="126" spans="1:3" ht="41.25" customHeight="1">
      <c r="A126" s="233" t="s">
        <v>887</v>
      </c>
      <c r="B126" s="215" t="s">
        <v>773</v>
      </c>
      <c r="C126" s="400">
        <v>1</v>
      </c>
    </row>
    <row r="127" spans="1:3" ht="36" customHeight="1">
      <c r="A127" s="233" t="s">
        <v>888</v>
      </c>
      <c r="B127" s="215" t="s">
        <v>774</v>
      </c>
      <c r="C127" s="400">
        <v>1</v>
      </c>
    </row>
    <row r="128" spans="1:3" ht="31.5" customHeight="1">
      <c r="A128" s="233" t="s">
        <v>889</v>
      </c>
      <c r="B128" s="215" t="s">
        <v>775</v>
      </c>
      <c r="C128" s="400">
        <v>1</v>
      </c>
    </row>
    <row r="129" spans="1:3" ht="33" customHeight="1">
      <c r="A129" s="233" t="s">
        <v>890</v>
      </c>
      <c r="B129" s="215" t="s">
        <v>776</v>
      </c>
      <c r="C129" s="400">
        <v>1</v>
      </c>
    </row>
    <row r="130" spans="1:3" ht="32.25" customHeight="1">
      <c r="A130" s="233" t="s">
        <v>891</v>
      </c>
      <c r="B130" s="215" t="s">
        <v>777</v>
      </c>
      <c r="C130" s="400">
        <v>1</v>
      </c>
    </row>
    <row r="131" spans="1:3" ht="35.25" customHeight="1">
      <c r="A131" s="233" t="s">
        <v>892</v>
      </c>
      <c r="B131" s="215" t="s">
        <v>778</v>
      </c>
      <c r="C131" s="400">
        <v>1</v>
      </c>
    </row>
    <row r="132" spans="1:3" ht="30.75" customHeight="1">
      <c r="A132" s="233" t="s">
        <v>893</v>
      </c>
      <c r="B132" s="215" t="s">
        <v>779</v>
      </c>
      <c r="C132" s="400">
        <v>1</v>
      </c>
    </row>
    <row r="133" spans="1:3" ht="38.25" customHeight="1">
      <c r="A133" s="233" t="s">
        <v>894</v>
      </c>
      <c r="B133" s="215" t="s">
        <v>780</v>
      </c>
      <c r="C133" s="400">
        <v>1</v>
      </c>
    </row>
    <row r="134" spans="1:3" ht="34.5" customHeight="1">
      <c r="A134" s="233" t="s">
        <v>895</v>
      </c>
      <c r="B134" s="215" t="s">
        <v>781</v>
      </c>
      <c r="C134" s="400">
        <v>1</v>
      </c>
    </row>
    <row r="135" spans="1:3" ht="38.25" customHeight="1">
      <c r="A135" s="233" t="s">
        <v>896</v>
      </c>
      <c r="B135" s="215" t="s">
        <v>782</v>
      </c>
      <c r="C135" s="400">
        <v>1</v>
      </c>
    </row>
    <row r="136" spans="1:3" ht="39.75" customHeight="1">
      <c r="A136" s="233" t="s">
        <v>897</v>
      </c>
      <c r="B136" s="215" t="s">
        <v>783</v>
      </c>
      <c r="C136" s="400">
        <v>1</v>
      </c>
    </row>
    <row r="137" spans="1:3" ht="36.75" customHeight="1">
      <c r="A137" s="233" t="s">
        <v>898</v>
      </c>
      <c r="B137" s="215" t="s">
        <v>784</v>
      </c>
      <c r="C137" s="400">
        <v>1</v>
      </c>
    </row>
    <row r="138" spans="1:3" ht="36" customHeight="1">
      <c r="A138" s="233" t="s">
        <v>899</v>
      </c>
      <c r="B138" s="215" t="s">
        <v>785</v>
      </c>
      <c r="C138" s="400">
        <v>1</v>
      </c>
    </row>
    <row r="139" spans="1:3" ht="39.75" customHeight="1">
      <c r="A139" s="233" t="s">
        <v>900</v>
      </c>
      <c r="B139" s="215" t="s">
        <v>786</v>
      </c>
      <c r="C139" s="400">
        <v>1</v>
      </c>
    </row>
    <row r="140" spans="1:3" ht="31.5" customHeight="1">
      <c r="A140" s="233" t="s">
        <v>901</v>
      </c>
      <c r="B140" s="215" t="s">
        <v>787</v>
      </c>
      <c r="C140" s="400">
        <v>1</v>
      </c>
    </row>
    <row r="141" spans="1:3" ht="19.5" customHeight="1">
      <c r="A141" s="233" t="s">
        <v>902</v>
      </c>
      <c r="B141" s="215" t="s">
        <v>788</v>
      </c>
      <c r="C141" s="400">
        <v>1</v>
      </c>
    </row>
    <row r="142" spans="1:3" ht="19.5" customHeight="1">
      <c r="A142" s="233" t="s">
        <v>903</v>
      </c>
      <c r="B142" s="215" t="s">
        <v>789</v>
      </c>
      <c r="C142" s="400">
        <v>1</v>
      </c>
    </row>
    <row r="143" spans="1:3" ht="35.25" customHeight="1">
      <c r="A143" s="233" t="s">
        <v>904</v>
      </c>
      <c r="B143" s="215" t="s">
        <v>790</v>
      </c>
      <c r="C143" s="400">
        <v>1</v>
      </c>
    </row>
    <row r="144" spans="1:3" ht="19.5" customHeight="1">
      <c r="A144" s="233" t="s">
        <v>905</v>
      </c>
      <c r="B144" s="215" t="s">
        <v>791</v>
      </c>
      <c r="C144" s="400">
        <v>1</v>
      </c>
    </row>
    <row r="145" spans="1:3" ht="19.5" customHeight="1" thickBot="1">
      <c r="A145" s="526" t="s">
        <v>174</v>
      </c>
      <c r="B145" s="527"/>
      <c r="C145" s="217">
        <f>SUM(C31:C144)</f>
        <v>406</v>
      </c>
    </row>
    <row r="146" spans="1:3" ht="19.5" customHeight="1">
      <c r="C146" s="203"/>
    </row>
    <row r="147" spans="1:3" ht="19.5" customHeight="1">
      <c r="A147" s="509" t="s">
        <v>175</v>
      </c>
      <c r="B147" s="510"/>
      <c r="C147" s="511"/>
    </row>
    <row r="148" spans="1:3" ht="19.5" customHeight="1">
      <c r="A148" s="226" t="s">
        <v>172</v>
      </c>
      <c r="B148" s="227" t="s">
        <v>173</v>
      </c>
      <c r="C148" s="228" t="s">
        <v>42</v>
      </c>
    </row>
    <row r="149" spans="1:3" ht="19.5" customHeight="1">
      <c r="A149" s="229" t="s">
        <v>626</v>
      </c>
      <c r="B149" s="231" t="s">
        <v>652</v>
      </c>
      <c r="C149" s="232">
        <v>36</v>
      </c>
    </row>
    <row r="150" spans="1:3" ht="19.5" customHeight="1">
      <c r="A150" s="229" t="s">
        <v>627</v>
      </c>
      <c r="B150" s="231" t="s">
        <v>653</v>
      </c>
      <c r="C150" s="232">
        <v>12</v>
      </c>
    </row>
    <row r="151" spans="1:3" ht="19.5" customHeight="1">
      <c r="A151" s="229" t="s">
        <v>628</v>
      </c>
      <c r="B151" s="231" t="s">
        <v>654</v>
      </c>
      <c r="C151" s="232">
        <v>4</v>
      </c>
    </row>
    <row r="152" spans="1:3" ht="19.5" customHeight="1">
      <c r="A152" s="229" t="s">
        <v>629</v>
      </c>
      <c r="B152" s="231" t="s">
        <v>655</v>
      </c>
      <c r="C152" s="232">
        <v>3</v>
      </c>
    </row>
    <row r="153" spans="1:3" ht="19.5" customHeight="1">
      <c r="A153" s="229" t="s">
        <v>630</v>
      </c>
      <c r="B153" s="231" t="s">
        <v>656</v>
      </c>
      <c r="C153" s="232">
        <v>3</v>
      </c>
    </row>
    <row r="154" spans="1:3" ht="19.5" customHeight="1">
      <c r="A154" s="229" t="s">
        <v>631</v>
      </c>
      <c r="B154" s="231" t="s">
        <v>657</v>
      </c>
      <c r="C154" s="232">
        <v>3</v>
      </c>
    </row>
    <row r="155" spans="1:3" ht="19.5" customHeight="1">
      <c r="A155" s="229" t="s">
        <v>632</v>
      </c>
      <c r="B155" s="231" t="s">
        <v>658</v>
      </c>
      <c r="C155" s="232">
        <v>2</v>
      </c>
    </row>
    <row r="156" spans="1:3" ht="19.5" customHeight="1">
      <c r="A156" s="229" t="s">
        <v>633</v>
      </c>
      <c r="B156" s="231" t="s">
        <v>659</v>
      </c>
      <c r="C156" s="232">
        <v>2</v>
      </c>
    </row>
    <row r="157" spans="1:3" ht="19.5" customHeight="1">
      <c r="A157" s="229" t="s">
        <v>634</v>
      </c>
      <c r="B157" s="231" t="s">
        <v>660</v>
      </c>
      <c r="C157" s="232">
        <v>2</v>
      </c>
    </row>
    <row r="158" spans="1:3" ht="19.5" customHeight="1">
      <c r="A158" s="229" t="s">
        <v>635</v>
      </c>
      <c r="B158" s="231" t="s">
        <v>661</v>
      </c>
      <c r="C158" s="232">
        <v>1</v>
      </c>
    </row>
    <row r="159" spans="1:3" ht="19.5" customHeight="1">
      <c r="A159" s="229" t="s">
        <v>636</v>
      </c>
      <c r="B159" s="231" t="s">
        <v>662</v>
      </c>
      <c r="C159" s="232">
        <v>1</v>
      </c>
    </row>
    <row r="160" spans="1:3" ht="19.5" customHeight="1">
      <c r="A160" s="229" t="s">
        <v>637</v>
      </c>
      <c r="B160" s="231" t="s">
        <v>663</v>
      </c>
      <c r="C160" s="232">
        <v>1</v>
      </c>
    </row>
    <row r="161" spans="1:3" ht="19.5" customHeight="1">
      <c r="A161" s="229" t="s">
        <v>638</v>
      </c>
      <c r="B161" s="231" t="s">
        <v>664</v>
      </c>
      <c r="C161" s="232">
        <v>1</v>
      </c>
    </row>
    <row r="162" spans="1:3" ht="19.5" customHeight="1">
      <c r="A162" s="229" t="s">
        <v>639</v>
      </c>
      <c r="B162" s="231" t="s">
        <v>665</v>
      </c>
      <c r="C162" s="232">
        <v>1</v>
      </c>
    </row>
    <row r="163" spans="1:3" ht="19.5" customHeight="1">
      <c r="A163" s="229" t="s">
        <v>640</v>
      </c>
      <c r="B163" s="231" t="s">
        <v>666</v>
      </c>
      <c r="C163" s="232">
        <v>1</v>
      </c>
    </row>
    <row r="164" spans="1:3" ht="19.5" customHeight="1">
      <c r="A164" s="229" t="s">
        <v>641</v>
      </c>
      <c r="B164" s="231" t="s">
        <v>667</v>
      </c>
      <c r="C164" s="232">
        <v>1</v>
      </c>
    </row>
    <row r="165" spans="1:3" ht="19.5" customHeight="1">
      <c r="A165" s="229" t="s">
        <v>642</v>
      </c>
      <c r="B165" s="231" t="s">
        <v>668</v>
      </c>
      <c r="C165" s="232">
        <v>1</v>
      </c>
    </row>
    <row r="166" spans="1:3" ht="19.5" customHeight="1">
      <c r="A166" s="229" t="s">
        <v>643</v>
      </c>
      <c r="B166" s="231" t="s">
        <v>669</v>
      </c>
      <c r="C166" s="232">
        <v>1</v>
      </c>
    </row>
    <row r="167" spans="1:3" ht="19.5" customHeight="1">
      <c r="A167" s="229" t="s">
        <v>644</v>
      </c>
      <c r="B167" s="231" t="s">
        <v>670</v>
      </c>
      <c r="C167" s="232">
        <v>1</v>
      </c>
    </row>
    <row r="168" spans="1:3" ht="19.5" customHeight="1">
      <c r="A168" s="229" t="s">
        <v>645</v>
      </c>
      <c r="B168" s="231" t="s">
        <v>671</v>
      </c>
      <c r="C168" s="232">
        <v>1</v>
      </c>
    </row>
    <row r="169" spans="1:3" ht="19.5" customHeight="1">
      <c r="A169" s="229" t="s">
        <v>646</v>
      </c>
      <c r="B169" s="231" t="s">
        <v>672</v>
      </c>
      <c r="C169" s="232">
        <v>1</v>
      </c>
    </row>
    <row r="170" spans="1:3" ht="19.5" customHeight="1">
      <c r="A170" s="229" t="s">
        <v>647</v>
      </c>
      <c r="B170" s="231" t="s">
        <v>673</v>
      </c>
      <c r="C170" s="232">
        <v>1</v>
      </c>
    </row>
    <row r="171" spans="1:3" ht="19.5" customHeight="1">
      <c r="A171" s="229" t="s">
        <v>648</v>
      </c>
      <c r="B171" s="231" t="s">
        <v>674</v>
      </c>
      <c r="C171" s="232">
        <v>1</v>
      </c>
    </row>
    <row r="172" spans="1:3" ht="19.5" customHeight="1">
      <c r="A172" s="229" t="s">
        <v>649</v>
      </c>
      <c r="B172" s="231" t="s">
        <v>675</v>
      </c>
      <c r="C172" s="232">
        <v>1</v>
      </c>
    </row>
    <row r="173" spans="1:3" ht="19.5" customHeight="1">
      <c r="A173" s="229" t="s">
        <v>650</v>
      </c>
      <c r="B173" s="231" t="s">
        <v>676</v>
      </c>
      <c r="C173" s="232">
        <v>1</v>
      </c>
    </row>
    <row r="174" spans="1:3" ht="19.5" customHeight="1">
      <c r="A174" s="229" t="s">
        <v>651</v>
      </c>
      <c r="B174" s="231" t="s">
        <v>677</v>
      </c>
      <c r="C174" s="232">
        <v>1</v>
      </c>
    </row>
    <row r="175" spans="1:3" ht="19.5" customHeight="1" thickBot="1">
      <c r="A175" s="526" t="s">
        <v>176</v>
      </c>
      <c r="B175" s="527"/>
      <c r="C175" s="217">
        <f>SUM(C149:C174)</f>
        <v>84</v>
      </c>
    </row>
    <row r="176" spans="1:3" ht="19.5" customHeight="1" thickBot="1">
      <c r="C176" s="203"/>
    </row>
    <row r="177" spans="2:3" ht="19.5" customHeight="1" thickBot="1">
      <c r="B177" s="528" t="s">
        <v>177</v>
      </c>
      <c r="C177" s="529"/>
    </row>
    <row r="178" spans="2:3" ht="19.5" customHeight="1" thickBot="1">
      <c r="B178" s="398"/>
      <c r="C178" s="382"/>
    </row>
    <row r="179" spans="2:3" ht="19.5" customHeight="1" thickBot="1">
      <c r="B179" s="398"/>
      <c r="C179" s="382"/>
    </row>
    <row r="180" spans="2:3" ht="19.5" customHeight="1" thickBot="1">
      <c r="B180" s="235"/>
      <c r="C180" s="236" t="s">
        <v>42</v>
      </c>
    </row>
    <row r="181" spans="2:3" ht="19.5" customHeight="1">
      <c r="B181" s="235" t="s">
        <v>178</v>
      </c>
      <c r="C181" s="237">
        <v>37</v>
      </c>
    </row>
    <row r="182" spans="2:3" ht="19.5" customHeight="1">
      <c r="B182" s="235" t="s">
        <v>179</v>
      </c>
      <c r="C182" s="237">
        <v>35</v>
      </c>
    </row>
    <row r="183" spans="2:3" ht="19.5" customHeight="1" thickBot="1">
      <c r="B183" s="238" t="s">
        <v>180</v>
      </c>
      <c r="C183" s="239">
        <f>C181+C182</f>
        <v>72</v>
      </c>
    </row>
  </sheetData>
  <mergeCells count="28">
    <mergeCell ref="A147:C147"/>
    <mergeCell ref="A175:B175"/>
    <mergeCell ref="B177:C177"/>
    <mergeCell ref="A24:C24"/>
    <mergeCell ref="A25:B25"/>
    <mergeCell ref="A26:B26"/>
    <mergeCell ref="A29:C29"/>
    <mergeCell ref="A145:B145"/>
    <mergeCell ref="A19:C19"/>
    <mergeCell ref="A20:B20"/>
    <mergeCell ref="A21:B21"/>
    <mergeCell ref="A22:B22"/>
    <mergeCell ref="A23:B23"/>
    <mergeCell ref="A14:B14"/>
    <mergeCell ref="A15:B15"/>
    <mergeCell ref="A16:B16"/>
    <mergeCell ref="A17:C17"/>
    <mergeCell ref="A18:B18"/>
    <mergeCell ref="A8:B8"/>
    <mergeCell ref="A9:B9"/>
    <mergeCell ref="A10:B10"/>
    <mergeCell ref="A12:C12"/>
    <mergeCell ref="A13:B13"/>
    <mergeCell ref="A1:C1"/>
    <mergeCell ref="B3:C3"/>
    <mergeCell ref="B4:C4"/>
    <mergeCell ref="A6:C6"/>
    <mergeCell ref="A7:B7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view="pageBreakPreview" topLeftCell="A19" zoomScale="80" zoomScaleNormal="80" zoomScalePageLayoutView="80" workbookViewId="0">
      <selection activeCell="D12" sqref="D12:E12"/>
    </sheetView>
  </sheetViews>
  <sheetFormatPr defaultColWidth="9" defaultRowHeight="19.5" customHeight="1"/>
  <cols>
    <col min="1" max="1" width="46.140625" style="114" customWidth="1"/>
    <col min="2" max="2" width="18.5703125" style="115" customWidth="1"/>
    <col min="3" max="3" width="22.7109375" style="115" customWidth="1"/>
    <col min="4" max="4" width="29.140625" style="115" customWidth="1"/>
    <col min="5" max="5" width="19" style="115" customWidth="1"/>
    <col min="6" max="6" width="18.42578125" style="115" customWidth="1"/>
    <col min="7" max="7" width="21.42578125" style="115" customWidth="1"/>
    <col min="8" max="8" width="18.140625" style="115" customWidth="1"/>
    <col min="9" max="9" width="21.42578125" style="114" customWidth="1"/>
    <col min="10" max="16383" width="9.140625" style="114"/>
    <col min="16384" max="16384" width="9" style="114"/>
  </cols>
  <sheetData>
    <row r="1" spans="1:9" ht="32.1" customHeight="1">
      <c r="A1" s="532" t="s">
        <v>181</v>
      </c>
      <c r="B1" s="533"/>
      <c r="C1" s="533"/>
      <c r="D1" s="533"/>
      <c r="E1" s="533"/>
      <c r="F1" s="533"/>
      <c r="G1" s="533"/>
      <c r="H1" s="533"/>
      <c r="I1" s="533"/>
    </row>
    <row r="2" spans="1:9" ht="19.5" customHeight="1">
      <c r="A2" s="138"/>
      <c r="B2" s="139"/>
      <c r="C2" s="139"/>
      <c r="D2" s="139"/>
      <c r="E2" s="140"/>
      <c r="F2" s="140"/>
      <c r="G2" s="140"/>
      <c r="H2" s="140"/>
      <c r="I2" s="195"/>
    </row>
    <row r="3" spans="1:9" ht="19.5" customHeight="1">
      <c r="A3" s="141" t="s">
        <v>6</v>
      </c>
      <c r="B3" s="534" t="s">
        <v>921</v>
      </c>
      <c r="C3" s="535"/>
      <c r="D3" s="535"/>
      <c r="E3" s="535"/>
      <c r="F3" s="140"/>
      <c r="G3" s="140"/>
      <c r="H3" s="140"/>
      <c r="I3" s="196"/>
    </row>
    <row r="4" spans="1:9" ht="19.5" customHeight="1">
      <c r="A4" s="141" t="s">
        <v>7</v>
      </c>
      <c r="B4" s="536">
        <f>Assistencial!B4</f>
        <v>46113</v>
      </c>
      <c r="C4" s="536"/>
      <c r="D4" s="140"/>
      <c r="E4" s="140"/>
      <c r="F4" s="140"/>
      <c r="G4" s="140"/>
      <c r="H4" s="140"/>
      <c r="I4" s="195"/>
    </row>
    <row r="5" spans="1:9" ht="23.1" customHeight="1">
      <c r="A5" s="142"/>
    </row>
    <row r="6" spans="1:9" ht="19.5" customHeight="1">
      <c r="A6" s="537" t="s">
        <v>182</v>
      </c>
      <c r="B6" s="538"/>
      <c r="C6" s="143" t="s">
        <v>42</v>
      </c>
    </row>
    <row r="7" spans="1:9" ht="19.5" customHeight="1">
      <c r="A7" s="539" t="s">
        <v>183</v>
      </c>
      <c r="B7" s="540"/>
      <c r="C7" s="144">
        <v>654</v>
      </c>
    </row>
    <row r="8" spans="1:9" ht="19.5" customHeight="1">
      <c r="A8" s="541" t="s">
        <v>184</v>
      </c>
      <c r="B8" s="542"/>
      <c r="C8" s="145">
        <f>B29</f>
        <v>652</v>
      </c>
    </row>
    <row r="9" spans="1:9" ht="19.5" customHeight="1">
      <c r="A9" s="142"/>
    </row>
    <row r="10" spans="1:9" ht="19.5" customHeight="1">
      <c r="A10" s="543" t="s">
        <v>185</v>
      </c>
      <c r="B10" s="544"/>
      <c r="C10" s="544"/>
      <c r="D10" s="544"/>
      <c r="E10" s="544"/>
      <c r="F10" s="545"/>
    </row>
    <row r="11" spans="1:9" ht="38.1" customHeight="1">
      <c r="A11" s="146"/>
      <c r="B11" s="546" t="s">
        <v>186</v>
      </c>
      <c r="C11" s="547"/>
      <c r="D11" s="548" t="s">
        <v>187</v>
      </c>
      <c r="E11" s="549"/>
      <c r="F11" s="148"/>
    </row>
    <row r="12" spans="1:9" ht="19.5" customHeight="1">
      <c r="A12" s="146"/>
      <c r="B12" s="550">
        <v>8</v>
      </c>
      <c r="C12" s="551"/>
      <c r="D12" s="642">
        <f>B12/B29</f>
        <v>1.2269938650306749E-2</v>
      </c>
      <c r="E12" s="643"/>
      <c r="F12" s="148"/>
    </row>
    <row r="13" spans="1:9" ht="19.5" customHeight="1">
      <c r="A13" s="149"/>
      <c r="F13" s="150"/>
    </row>
    <row r="14" spans="1:9" ht="19.5" customHeight="1">
      <c r="A14" s="151"/>
      <c r="B14" s="552" t="s">
        <v>188</v>
      </c>
      <c r="C14" s="553"/>
      <c r="D14" s="553"/>
      <c r="E14" s="553"/>
      <c r="F14" s="554"/>
    </row>
    <row r="15" spans="1:9" ht="57.95" customHeight="1">
      <c r="A15" s="152"/>
      <c r="B15" s="153" t="s">
        <v>189</v>
      </c>
      <c r="C15" s="154" t="s">
        <v>190</v>
      </c>
      <c r="D15" s="154" t="s">
        <v>191</v>
      </c>
      <c r="E15" s="154" t="s">
        <v>192</v>
      </c>
      <c r="F15" s="83" t="s">
        <v>193</v>
      </c>
    </row>
    <row r="16" spans="1:9" ht="19.5" customHeight="1">
      <c r="A16" s="119"/>
      <c r="B16" s="155">
        <v>4</v>
      </c>
      <c r="C16" s="156">
        <v>1</v>
      </c>
      <c r="D16" s="156">
        <v>221</v>
      </c>
      <c r="E16" s="156">
        <v>0</v>
      </c>
      <c r="F16" s="157">
        <v>94</v>
      </c>
    </row>
    <row r="17" spans="1:9" ht="19.5" customHeight="1">
      <c r="A17" s="151"/>
      <c r="B17" s="158"/>
      <c r="C17" s="158"/>
      <c r="D17" s="158"/>
      <c r="E17" s="158"/>
      <c r="F17" s="159"/>
    </row>
    <row r="18" spans="1:9" ht="19.5" customHeight="1">
      <c r="A18" s="151"/>
      <c r="B18" s="555" t="s">
        <v>194</v>
      </c>
      <c r="C18" s="556"/>
      <c r="D18" s="557"/>
      <c r="E18" s="158"/>
      <c r="F18" s="159"/>
    </row>
    <row r="19" spans="1:9" ht="19.5" customHeight="1">
      <c r="A19" s="149"/>
      <c r="B19" s="160" t="s">
        <v>195</v>
      </c>
      <c r="C19" s="161" t="s">
        <v>196</v>
      </c>
      <c r="D19" s="162" t="s">
        <v>197</v>
      </c>
      <c r="F19" s="163"/>
    </row>
    <row r="20" spans="1:9" ht="19.5" customHeight="1">
      <c r="A20" s="149"/>
      <c r="B20" s="164">
        <f>B16/Assistencial!I14*1000</f>
        <v>14.234875444839856</v>
      </c>
      <c r="C20" s="165">
        <f>C16/D16*1000</f>
        <v>4.5248868778280551</v>
      </c>
      <c r="D20" s="641">
        <f>F16/Assistencial!I14</f>
        <v>0.33451957295373663</v>
      </c>
      <c r="F20" s="163"/>
    </row>
    <row r="21" spans="1:9" ht="68.099999999999994" customHeight="1">
      <c r="A21" s="558" t="s">
        <v>198</v>
      </c>
      <c r="B21" s="559"/>
      <c r="C21" s="559"/>
      <c r="D21" s="559"/>
      <c r="E21" s="559"/>
      <c r="F21" s="560"/>
    </row>
    <row r="22" spans="1:9" ht="19.5" customHeight="1">
      <c r="A22" s="142"/>
    </row>
    <row r="23" spans="1:9" ht="19.5" customHeight="1">
      <c r="A23" s="142"/>
    </row>
    <row r="24" spans="1:9" ht="19.5" customHeight="1">
      <c r="A24" s="561" t="s">
        <v>199</v>
      </c>
      <c r="B24" s="562"/>
      <c r="C24" s="166"/>
      <c r="D24" s="543" t="s">
        <v>200</v>
      </c>
      <c r="E24" s="544"/>
      <c r="F24" s="544"/>
      <c r="G24" s="544"/>
      <c r="H24" s="544"/>
      <c r="I24" s="545"/>
    </row>
    <row r="25" spans="1:9" ht="51" customHeight="1">
      <c r="A25" s="167"/>
      <c r="B25" s="168" t="s">
        <v>42</v>
      </c>
      <c r="D25" s="169"/>
      <c r="E25" s="147" t="s">
        <v>201</v>
      </c>
      <c r="F25" s="147" t="s">
        <v>202</v>
      </c>
      <c r="G25" s="147" t="s">
        <v>203</v>
      </c>
      <c r="H25" s="147" t="s">
        <v>494</v>
      </c>
      <c r="I25" s="197" t="s">
        <v>495</v>
      </c>
    </row>
    <row r="26" spans="1:9" ht="39" customHeight="1">
      <c r="A26" s="170" t="s">
        <v>204</v>
      </c>
      <c r="B26" s="44">
        <v>20</v>
      </c>
      <c r="D26" s="167" t="s">
        <v>205</v>
      </c>
      <c r="E26" s="171">
        <v>138</v>
      </c>
      <c r="F26" s="171">
        <v>0</v>
      </c>
      <c r="G26" s="172">
        <f>F26/E26</f>
        <v>0</v>
      </c>
      <c r="H26" s="173">
        <v>123</v>
      </c>
      <c r="I26" s="198">
        <f>H26/H32</f>
        <v>0.33884297520661155</v>
      </c>
    </row>
    <row r="27" spans="1:9" ht="19.5" customHeight="1">
      <c r="A27" s="170" t="s">
        <v>206</v>
      </c>
      <c r="B27" s="44">
        <v>4</v>
      </c>
      <c r="D27" s="169" t="s">
        <v>207</v>
      </c>
      <c r="E27" s="45">
        <v>191</v>
      </c>
      <c r="F27" s="45">
        <v>0</v>
      </c>
      <c r="G27" s="174">
        <f>F27/E27</f>
        <v>0</v>
      </c>
      <c r="H27" s="123">
        <v>176</v>
      </c>
      <c r="I27" s="199">
        <f>H27/H32</f>
        <v>0.48484848484848486</v>
      </c>
    </row>
    <row r="28" spans="1:9" ht="30" customHeight="1">
      <c r="A28" s="169" t="s">
        <v>208</v>
      </c>
      <c r="B28" s="175">
        <v>396</v>
      </c>
      <c r="C28" s="114"/>
      <c r="D28" s="169" t="s">
        <v>209</v>
      </c>
      <c r="E28" s="45">
        <v>64</v>
      </c>
      <c r="F28" s="45">
        <v>2</v>
      </c>
      <c r="G28" s="174">
        <f>F28/E28</f>
        <v>3.125E-2</v>
      </c>
      <c r="H28" s="123">
        <v>61</v>
      </c>
      <c r="I28" s="199">
        <f>H28/H32</f>
        <v>0.16804407713498623</v>
      </c>
    </row>
    <row r="29" spans="1:9" ht="24" customHeight="1">
      <c r="A29" s="176" t="s">
        <v>210</v>
      </c>
      <c r="B29" s="177">
        <f>Assistencial!F15</f>
        <v>652</v>
      </c>
      <c r="D29" s="169" t="s">
        <v>211</v>
      </c>
      <c r="E29" s="45">
        <v>3</v>
      </c>
      <c r="F29" s="45">
        <v>2</v>
      </c>
      <c r="G29" s="174">
        <f>F29/E29</f>
        <v>0.66666666666666663</v>
      </c>
      <c r="H29" s="123">
        <v>3</v>
      </c>
      <c r="I29" s="199">
        <f>H29/H32</f>
        <v>8.2644628099173556E-3</v>
      </c>
    </row>
    <row r="30" spans="1:9" ht="18.95" customHeight="1">
      <c r="A30" s="151"/>
      <c r="B30" s="114"/>
      <c r="D30" s="169" t="s">
        <v>212</v>
      </c>
      <c r="E30" s="45">
        <v>0</v>
      </c>
      <c r="F30" s="45">
        <v>0</v>
      </c>
      <c r="G30" s="174">
        <v>0</v>
      </c>
      <c r="H30" s="123">
        <v>0</v>
      </c>
      <c r="I30" s="199">
        <f>H30/H32</f>
        <v>0</v>
      </c>
    </row>
    <row r="31" spans="1:9" ht="33" customHeight="1">
      <c r="A31" s="543" t="s">
        <v>213</v>
      </c>
      <c r="B31" s="545"/>
      <c r="C31" s="178"/>
      <c r="D31" s="176" t="s">
        <v>214</v>
      </c>
      <c r="E31" s="179">
        <v>0</v>
      </c>
      <c r="F31" s="180" t="s">
        <v>57</v>
      </c>
      <c r="G31" s="180" t="s">
        <v>57</v>
      </c>
      <c r="H31" s="180" t="s">
        <v>57</v>
      </c>
      <c r="I31" s="200" t="s">
        <v>57</v>
      </c>
    </row>
    <row r="32" spans="1:9" ht="18.95" customHeight="1">
      <c r="A32" s="169"/>
      <c r="B32" s="181" t="s">
        <v>215</v>
      </c>
      <c r="C32" s="178"/>
      <c r="D32" s="182" t="s">
        <v>14</v>
      </c>
      <c r="E32" s="183">
        <f>SUM(E26:E31)</f>
        <v>396</v>
      </c>
      <c r="F32" s="183">
        <f>SUM(F26:F30)</f>
        <v>4</v>
      </c>
      <c r="G32" s="184">
        <f>SUM(G26:G30)</f>
        <v>0.69791666666666663</v>
      </c>
      <c r="H32" s="183">
        <f>SUM(H26:H30)</f>
        <v>363</v>
      </c>
      <c r="I32" s="201">
        <f>SUM(I26:I30)</f>
        <v>1</v>
      </c>
    </row>
    <row r="33" spans="1:9" ht="45" customHeight="1">
      <c r="A33" s="185" t="s">
        <v>203</v>
      </c>
      <c r="B33" s="186">
        <f>B27/B28</f>
        <v>1.0101010101010102E-2</v>
      </c>
      <c r="C33" s="178"/>
      <c r="D33" s="567" t="s">
        <v>216</v>
      </c>
      <c r="E33" s="567"/>
      <c r="F33" s="567"/>
      <c r="G33" s="567"/>
      <c r="H33" s="567"/>
      <c r="I33" s="571"/>
    </row>
    <row r="34" spans="1:9" ht="18" customHeight="1">
      <c r="A34" s="151"/>
      <c r="C34" s="178"/>
      <c r="I34" s="150"/>
    </row>
    <row r="35" spans="1:9" ht="33" customHeight="1">
      <c r="A35" s="572" t="s">
        <v>217</v>
      </c>
      <c r="B35" s="573"/>
      <c r="C35" s="178"/>
      <c r="I35" s="150"/>
    </row>
    <row r="36" spans="1:9" ht="18.95" customHeight="1">
      <c r="A36" s="151"/>
      <c r="B36" s="187" t="s">
        <v>215</v>
      </c>
      <c r="C36" s="178"/>
      <c r="I36" s="150"/>
    </row>
    <row r="37" spans="1:9" ht="24.95" customHeight="1">
      <c r="A37" s="185" t="s">
        <v>218</v>
      </c>
      <c r="B37" s="186">
        <f>(B26/B29)</f>
        <v>3.0674846625766871E-2</v>
      </c>
      <c r="C37" s="178"/>
      <c r="I37" s="150"/>
    </row>
    <row r="38" spans="1:9" ht="24.95" customHeight="1">
      <c r="A38" s="151"/>
      <c r="C38" s="178"/>
      <c r="I38" s="150"/>
    </row>
    <row r="39" spans="1:9" ht="19.5" customHeight="1">
      <c r="A39" s="543" t="s">
        <v>219</v>
      </c>
      <c r="B39" s="544"/>
      <c r="C39" s="544"/>
      <c r="D39" s="544"/>
      <c r="E39" s="544"/>
      <c r="F39" s="544"/>
      <c r="G39" s="544"/>
      <c r="H39" s="545"/>
      <c r="I39" s="150"/>
    </row>
    <row r="40" spans="1:9" ht="19.5" customHeight="1">
      <c r="A40" s="169"/>
      <c r="B40" s="188" t="s">
        <v>220</v>
      </c>
      <c r="C40" s="188" t="s">
        <v>221</v>
      </c>
      <c r="D40" s="188" t="s">
        <v>222</v>
      </c>
      <c r="E40" s="188" t="s">
        <v>223</v>
      </c>
      <c r="F40" s="188" t="s">
        <v>224</v>
      </c>
      <c r="G40" s="188" t="s">
        <v>225</v>
      </c>
      <c r="H40" s="189" t="s">
        <v>226</v>
      </c>
      <c r="I40" s="150"/>
    </row>
    <row r="41" spans="1:9" ht="19.5" customHeight="1">
      <c r="A41" s="169" t="s">
        <v>227</v>
      </c>
      <c r="B41" s="45">
        <v>0</v>
      </c>
      <c r="C41" s="45">
        <v>0</v>
      </c>
      <c r="D41" s="45">
        <v>0</v>
      </c>
      <c r="E41" s="45">
        <v>0</v>
      </c>
      <c r="F41" s="45">
        <v>0</v>
      </c>
      <c r="G41" s="45">
        <v>0</v>
      </c>
      <c r="H41" s="44">
        <v>0</v>
      </c>
      <c r="I41" s="150"/>
    </row>
    <row r="42" spans="1:9" ht="19.5" customHeight="1">
      <c r="A42" s="169" t="s">
        <v>228</v>
      </c>
      <c r="B42" s="45">
        <v>0</v>
      </c>
      <c r="C42" s="45">
        <v>0</v>
      </c>
      <c r="D42" s="45">
        <v>0</v>
      </c>
      <c r="E42" s="45">
        <v>0</v>
      </c>
      <c r="F42" s="45">
        <v>0</v>
      </c>
      <c r="G42" s="45">
        <v>0</v>
      </c>
      <c r="H42" s="44">
        <v>0</v>
      </c>
      <c r="I42" s="150"/>
    </row>
    <row r="43" spans="1:9" ht="19.5" customHeight="1">
      <c r="A43" s="169" t="s">
        <v>229</v>
      </c>
      <c r="B43" s="45">
        <v>0</v>
      </c>
      <c r="C43" s="45">
        <v>0</v>
      </c>
      <c r="D43" s="45">
        <v>0</v>
      </c>
      <c r="E43" s="45">
        <v>0</v>
      </c>
      <c r="F43" s="45">
        <v>0</v>
      </c>
      <c r="G43" s="45">
        <v>0</v>
      </c>
      <c r="H43" s="44">
        <v>0</v>
      </c>
      <c r="I43" s="150"/>
    </row>
    <row r="44" spans="1:9" ht="19.5" customHeight="1">
      <c r="A44" s="169" t="s">
        <v>230</v>
      </c>
      <c r="B44" s="45">
        <v>0</v>
      </c>
      <c r="C44" s="45">
        <v>0</v>
      </c>
      <c r="D44" s="45">
        <v>0</v>
      </c>
      <c r="E44" s="45">
        <v>0</v>
      </c>
      <c r="F44" s="45">
        <v>0</v>
      </c>
      <c r="G44" s="45">
        <v>0</v>
      </c>
      <c r="H44" s="44">
        <v>0</v>
      </c>
      <c r="I44" s="150"/>
    </row>
    <row r="45" spans="1:9" ht="19.5" customHeight="1">
      <c r="A45" s="169" t="s">
        <v>231</v>
      </c>
      <c r="B45" s="45">
        <v>0</v>
      </c>
      <c r="C45" s="45">
        <v>0</v>
      </c>
      <c r="D45" s="45">
        <v>0</v>
      </c>
      <c r="E45" s="45">
        <v>0</v>
      </c>
      <c r="F45" s="45">
        <v>0</v>
      </c>
      <c r="G45" s="45">
        <v>0</v>
      </c>
      <c r="H45" s="44">
        <v>0</v>
      </c>
      <c r="I45" s="150"/>
    </row>
    <row r="46" spans="1:9" ht="19.5" customHeight="1">
      <c r="A46" s="169" t="s">
        <v>232</v>
      </c>
      <c r="B46" s="45">
        <v>0</v>
      </c>
      <c r="C46" s="45">
        <v>0</v>
      </c>
      <c r="D46" s="45">
        <v>0</v>
      </c>
      <c r="E46" s="45">
        <v>0</v>
      </c>
      <c r="F46" s="45">
        <v>0</v>
      </c>
      <c r="G46" s="45">
        <v>0</v>
      </c>
      <c r="H46" s="44">
        <v>0</v>
      </c>
      <c r="I46" s="150"/>
    </row>
    <row r="47" spans="1:9" ht="19.5" customHeight="1">
      <c r="A47" s="169" t="s">
        <v>233</v>
      </c>
      <c r="B47" s="45">
        <v>0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4">
        <v>0</v>
      </c>
      <c r="I47" s="150"/>
    </row>
    <row r="48" spans="1:9" ht="19.5" customHeight="1">
      <c r="A48" s="169" t="s">
        <v>234</v>
      </c>
      <c r="B48" s="45">
        <v>0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  <c r="H48" s="44">
        <v>0</v>
      </c>
      <c r="I48" s="150"/>
    </row>
    <row r="49" spans="1:9" ht="19.5" customHeight="1">
      <c r="A49" s="169" t="s">
        <v>235</v>
      </c>
      <c r="B49" s="45">
        <v>0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  <c r="H49" s="44">
        <v>0</v>
      </c>
      <c r="I49" s="150"/>
    </row>
    <row r="50" spans="1:9" ht="19.5" customHeight="1">
      <c r="A50" s="169" t="s">
        <v>236</v>
      </c>
      <c r="B50" s="45">
        <v>72</v>
      </c>
      <c r="C50" s="45">
        <v>70</v>
      </c>
      <c r="D50" s="45">
        <v>71</v>
      </c>
      <c r="E50" s="45">
        <v>0</v>
      </c>
      <c r="F50" s="45">
        <v>1</v>
      </c>
      <c r="G50" s="45">
        <v>0</v>
      </c>
      <c r="H50" s="44">
        <v>0</v>
      </c>
      <c r="I50" s="150"/>
    </row>
    <row r="51" spans="1:9" ht="19.5" customHeight="1">
      <c r="A51" s="176" t="s">
        <v>14</v>
      </c>
      <c r="B51" s="190">
        <v>72</v>
      </c>
      <c r="C51" s="190">
        <f t="shared" ref="C51:H51" si="0">SUM(C41:C50)</f>
        <v>70</v>
      </c>
      <c r="D51" s="190">
        <f t="shared" si="0"/>
        <v>71</v>
      </c>
      <c r="E51" s="190">
        <f t="shared" si="0"/>
        <v>0</v>
      </c>
      <c r="F51" s="190">
        <f t="shared" si="0"/>
        <v>1</v>
      </c>
      <c r="G51" s="190">
        <f t="shared" si="0"/>
        <v>0</v>
      </c>
      <c r="H51" s="191">
        <f t="shared" si="0"/>
        <v>0</v>
      </c>
      <c r="I51" s="202"/>
    </row>
    <row r="52" spans="1:9" ht="19.5" customHeight="1">
      <c r="B52" s="114"/>
      <c r="C52" s="114"/>
      <c r="D52" s="114"/>
      <c r="E52" s="114"/>
      <c r="F52" s="114"/>
      <c r="G52" s="114"/>
      <c r="H52" s="114"/>
    </row>
    <row r="53" spans="1:9" ht="19.5" customHeight="1">
      <c r="A53"/>
      <c r="B53"/>
      <c r="C53"/>
      <c r="D53"/>
    </row>
    <row r="54" spans="1:9" ht="30" customHeight="1">
      <c r="A54" s="574" t="s">
        <v>237</v>
      </c>
      <c r="B54" s="575"/>
      <c r="C54" s="575"/>
      <c r="D54" s="576"/>
    </row>
    <row r="55" spans="1:9" ht="41.1" customHeight="1">
      <c r="A55" s="563" t="s">
        <v>238</v>
      </c>
      <c r="B55" s="564"/>
      <c r="C55" s="192">
        <v>0</v>
      </c>
      <c r="D55" s="569">
        <f>C55/C56</f>
        <v>0</v>
      </c>
    </row>
    <row r="56" spans="1:9" ht="33.950000000000003" customHeight="1">
      <c r="A56" s="565" t="s">
        <v>239</v>
      </c>
      <c r="B56" s="566"/>
      <c r="C56" s="193">
        <v>46</v>
      </c>
      <c r="D56" s="570"/>
    </row>
    <row r="57" spans="1:9" ht="80.099999999999994" customHeight="1">
      <c r="A57" s="567" t="s">
        <v>240</v>
      </c>
      <c r="B57" s="568"/>
      <c r="C57" s="568"/>
      <c r="D57" s="568"/>
      <c r="H57" s="194"/>
    </row>
    <row r="61" spans="1:9" ht="38.1" customHeight="1"/>
    <row r="62" spans="1:9" ht="27" customHeight="1"/>
    <row r="65" ht="29.1" customHeight="1"/>
    <row r="66" ht="26.1" customHeight="1"/>
  </sheetData>
  <mergeCells count="25"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  <mergeCell ref="B14:F14"/>
    <mergeCell ref="B18:D18"/>
    <mergeCell ref="A21:F21"/>
    <mergeCell ref="A24:B24"/>
    <mergeCell ref="D24:I24"/>
    <mergeCell ref="A8:B8"/>
    <mergeCell ref="A10:F10"/>
    <mergeCell ref="B11:C11"/>
    <mergeCell ref="D11:E11"/>
    <mergeCell ref="B12:C12"/>
    <mergeCell ref="D12:E12"/>
    <mergeCell ref="A1:I1"/>
    <mergeCell ref="B3:E3"/>
    <mergeCell ref="B4:C4"/>
    <mergeCell ref="A6:B6"/>
    <mergeCell ref="A7:B7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E20" sqref="E20"/>
    </sheetView>
  </sheetViews>
  <sheetFormatPr defaultColWidth="9" defaultRowHeight="17.25" customHeight="1"/>
  <cols>
    <col min="1" max="1" width="47.42578125" style="114" customWidth="1"/>
    <col min="2" max="2" width="20" style="115" customWidth="1"/>
    <col min="3" max="3" width="18.28515625" style="115" customWidth="1"/>
    <col min="4" max="4" width="17.85546875" style="115" customWidth="1"/>
    <col min="5" max="5" width="14.28515625" style="115" customWidth="1"/>
    <col min="6" max="6" width="18.7109375" style="115" customWidth="1"/>
    <col min="7" max="9" width="14.28515625" style="114" customWidth="1"/>
    <col min="10" max="10" width="16.85546875" style="114" customWidth="1"/>
    <col min="11" max="16383" width="9.140625" style="114"/>
    <col min="16384" max="16384" width="9" style="114"/>
  </cols>
  <sheetData>
    <row r="1" spans="1:10" s="113" customFormat="1" ht="17.25" customHeight="1">
      <c r="A1" s="577" t="s">
        <v>241</v>
      </c>
      <c r="B1" s="578"/>
      <c r="C1" s="578"/>
      <c r="D1" s="578"/>
      <c r="E1" s="578"/>
      <c r="F1" s="578"/>
      <c r="G1" s="578"/>
      <c r="H1" s="578"/>
      <c r="I1" s="578"/>
      <c r="J1" s="578"/>
    </row>
    <row r="2" spans="1:10" s="113" customFormat="1" ht="17.25" customHeight="1">
      <c r="A2" s="116"/>
      <c r="B2" s="117"/>
      <c r="C2" s="117"/>
      <c r="D2" s="117"/>
      <c r="E2" s="118"/>
      <c r="F2" s="118"/>
    </row>
    <row r="3" spans="1:10" s="113" customFormat="1" ht="17.25" customHeight="1">
      <c r="A3" s="119" t="s">
        <v>6</v>
      </c>
      <c r="B3" s="579" t="str">
        <f>Capa!D5</f>
        <v>HOSPITAL REGIONAL TEREZINHA GAIO BASSO</v>
      </c>
      <c r="C3" s="580"/>
      <c r="D3" s="580"/>
      <c r="E3" s="580"/>
      <c r="F3" s="118"/>
    </row>
    <row r="4" spans="1:10" s="113" customFormat="1" ht="17.25" customHeight="1">
      <c r="A4" s="119" t="s">
        <v>7</v>
      </c>
      <c r="B4" s="581">
        <v>46113</v>
      </c>
      <c r="C4" s="581"/>
      <c r="D4" s="120"/>
      <c r="E4" s="120"/>
      <c r="F4" s="118"/>
    </row>
    <row r="5" spans="1:10" s="113" customFormat="1" ht="17.25" customHeight="1">
      <c r="A5" s="119"/>
      <c r="B5" s="121"/>
      <c r="C5" s="121"/>
      <c r="D5" s="120"/>
      <c r="E5" s="120"/>
      <c r="F5" s="118"/>
    </row>
    <row r="6" spans="1:10" s="113" customFormat="1" ht="17.25" customHeight="1">
      <c r="A6" s="543" t="s">
        <v>242</v>
      </c>
      <c r="B6" s="544"/>
      <c r="C6" s="544"/>
      <c r="D6" s="544"/>
      <c r="E6" s="544"/>
      <c r="F6" s="545"/>
    </row>
    <row r="7" spans="1:10" s="113" customFormat="1" ht="57" customHeight="1">
      <c r="A7" s="582" t="s">
        <v>243</v>
      </c>
      <c r="B7" s="547"/>
      <c r="C7" s="583" t="s">
        <v>244</v>
      </c>
      <c r="D7" s="583"/>
      <c r="E7" s="583" t="s">
        <v>245</v>
      </c>
      <c r="F7" s="584"/>
    </row>
    <row r="8" spans="1:10" s="113" customFormat="1" ht="28.5" customHeight="1">
      <c r="A8" s="585" t="s">
        <v>246</v>
      </c>
      <c r="B8" s="586"/>
      <c r="C8" s="547">
        <v>2535</v>
      </c>
      <c r="D8" s="547"/>
      <c r="E8" s="547">
        <v>104</v>
      </c>
      <c r="F8" s="587"/>
    </row>
    <row r="9" spans="1:10" s="113" customFormat="1" ht="27.75" customHeight="1">
      <c r="A9" s="585" t="s">
        <v>247</v>
      </c>
      <c r="B9" s="586"/>
      <c r="C9" s="547">
        <v>628</v>
      </c>
      <c r="D9" s="547"/>
      <c r="E9" s="547">
        <v>116</v>
      </c>
      <c r="F9" s="587"/>
    </row>
    <row r="10" spans="1:10" s="113" customFormat="1" ht="26.25" customHeight="1">
      <c r="A10" s="585" t="s">
        <v>248</v>
      </c>
      <c r="B10" s="586"/>
      <c r="C10" s="547">
        <v>8106</v>
      </c>
      <c r="D10" s="547"/>
      <c r="E10" s="547">
        <v>324</v>
      </c>
      <c r="F10" s="587"/>
    </row>
    <row r="11" spans="1:10" s="113" customFormat="1" ht="17.25" customHeight="1">
      <c r="A11" s="585" t="s">
        <v>249</v>
      </c>
      <c r="B11" s="586"/>
      <c r="C11" s="547">
        <v>576</v>
      </c>
      <c r="D11" s="547"/>
      <c r="E11" s="547">
        <v>71</v>
      </c>
      <c r="F11" s="587"/>
    </row>
    <row r="12" spans="1:10" s="113" customFormat="1" ht="17.25" customHeight="1">
      <c r="A12" s="588" t="s">
        <v>14</v>
      </c>
      <c r="B12" s="589"/>
      <c r="C12" s="590">
        <f>SUM(C8:D11)</f>
        <v>11845</v>
      </c>
      <c r="D12" s="590"/>
      <c r="E12" s="590">
        <f>SUM(E8:F11)</f>
        <v>615</v>
      </c>
      <c r="F12" s="591"/>
    </row>
    <row r="13" spans="1:10" s="113" customFormat="1" ht="18" customHeight="1">
      <c r="A13" s="122"/>
      <c r="B13" s="123"/>
      <c r="C13" s="118"/>
      <c r="D13" s="124"/>
      <c r="E13" s="120"/>
      <c r="F13" s="118"/>
    </row>
    <row r="14" spans="1:10" ht="17.25" customHeight="1">
      <c r="A14" s="500" t="s">
        <v>250</v>
      </c>
      <c r="B14" s="501"/>
      <c r="C14" s="501"/>
      <c r="D14" s="501"/>
      <c r="E14" s="501"/>
      <c r="F14" s="501"/>
      <c r="G14" s="501"/>
      <c r="H14" s="501"/>
      <c r="I14" s="501"/>
      <c r="J14" s="501"/>
    </row>
    <row r="15" spans="1:10" ht="38.1" customHeight="1">
      <c r="A15" s="125" t="s">
        <v>251</v>
      </c>
      <c r="B15" s="126" t="s">
        <v>252</v>
      </c>
      <c r="C15" s="126" t="s">
        <v>253</v>
      </c>
      <c r="D15" s="126" t="s">
        <v>254</v>
      </c>
      <c r="E15" s="126" t="s">
        <v>255</v>
      </c>
      <c r="F15" s="126" t="s">
        <v>256</v>
      </c>
      <c r="G15" s="126" t="s">
        <v>257</v>
      </c>
      <c r="H15" s="126" t="s">
        <v>493</v>
      </c>
      <c r="I15" s="126" t="s">
        <v>258</v>
      </c>
      <c r="J15" s="135" t="s">
        <v>259</v>
      </c>
    </row>
    <row r="16" spans="1:10" ht="17.25" customHeight="1">
      <c r="A16" s="127" t="s">
        <v>260</v>
      </c>
      <c r="B16" s="128">
        <f>C8</f>
        <v>2535</v>
      </c>
      <c r="C16" s="129">
        <v>303</v>
      </c>
      <c r="D16" s="129">
        <v>663</v>
      </c>
      <c r="E16" s="129">
        <v>50</v>
      </c>
      <c r="F16" s="129">
        <v>34</v>
      </c>
      <c r="G16" s="130">
        <f>SUM(C16:F16)</f>
        <v>1050</v>
      </c>
      <c r="H16" s="366">
        <f>(E8/C8)*100</f>
        <v>4.1025641025641022</v>
      </c>
      <c r="I16" s="131">
        <f>(C16+D16)/G16</f>
        <v>0.92</v>
      </c>
      <c r="J16" s="136">
        <f>(E16+F16)/G16</f>
        <v>0.08</v>
      </c>
    </row>
    <row r="17" spans="1:10" ht="17.25" customHeight="1">
      <c r="A17" s="127" t="s">
        <v>261</v>
      </c>
      <c r="B17" s="128">
        <f>C9</f>
        <v>628</v>
      </c>
      <c r="C17" s="129">
        <v>325</v>
      </c>
      <c r="D17" s="129">
        <v>685</v>
      </c>
      <c r="E17" s="129">
        <v>26</v>
      </c>
      <c r="F17" s="129">
        <v>8</v>
      </c>
      <c r="G17" s="130">
        <f>SUM(C17:F17)</f>
        <v>1044</v>
      </c>
      <c r="H17" s="366">
        <f>(E9/C9)*100</f>
        <v>18.471337579617835</v>
      </c>
      <c r="I17" s="131">
        <f>(C17+D17)/G17</f>
        <v>0.96743295019157083</v>
      </c>
      <c r="J17" s="136">
        <f>(E17+F17)/G17</f>
        <v>3.2567049808429116E-2</v>
      </c>
    </row>
    <row r="18" spans="1:10" ht="17.25" customHeight="1">
      <c r="A18" s="127" t="s">
        <v>262</v>
      </c>
      <c r="B18" s="128">
        <f>C10</f>
        <v>8106</v>
      </c>
      <c r="C18" s="129">
        <v>1047</v>
      </c>
      <c r="D18" s="129">
        <v>1759</v>
      </c>
      <c r="E18" s="129">
        <v>73</v>
      </c>
      <c r="F18" s="129">
        <v>37</v>
      </c>
      <c r="G18" s="130">
        <f>SUM(C18:F18)</f>
        <v>2916</v>
      </c>
      <c r="H18" s="366">
        <f>(E10/C10)*100</f>
        <v>3.9970392301998516</v>
      </c>
      <c r="I18" s="131">
        <f>(C18+D18)/G18</f>
        <v>0.9622770919067215</v>
      </c>
      <c r="J18" s="136">
        <f>(E18+F18)/G18</f>
        <v>3.7722908093278461E-2</v>
      </c>
    </row>
    <row r="19" spans="1:10" ht="17.25" customHeight="1">
      <c r="A19" s="127" t="s">
        <v>263</v>
      </c>
      <c r="B19" s="128">
        <f>C11</f>
        <v>576</v>
      </c>
      <c r="C19" s="129">
        <v>134</v>
      </c>
      <c r="D19" s="129">
        <v>498</v>
      </c>
      <c r="E19" s="129">
        <v>5</v>
      </c>
      <c r="F19" s="129">
        <v>2</v>
      </c>
      <c r="G19" s="130">
        <f>SUM(C19:F19)</f>
        <v>639</v>
      </c>
      <c r="H19" s="366">
        <f>(E11/C11)*100</f>
        <v>12.326388888888889</v>
      </c>
      <c r="I19" s="131">
        <f>(C19+D19)/G19</f>
        <v>0.98904538341158055</v>
      </c>
      <c r="J19" s="136">
        <f>(E19+F19)/G19</f>
        <v>1.0954616588419406E-2</v>
      </c>
    </row>
    <row r="20" spans="1:10" ht="17.25" customHeight="1">
      <c r="A20" s="132" t="s">
        <v>264</v>
      </c>
      <c r="B20" s="133">
        <f>SUM(B16+B18+B17+B19)</f>
        <v>11845</v>
      </c>
      <c r="C20" s="133">
        <f>SUM(C16+C18+C17+C19)</f>
        <v>1809</v>
      </c>
      <c r="D20" s="133">
        <f>SUM(D16+D18+D17+D19)</f>
        <v>3605</v>
      </c>
      <c r="E20" s="133">
        <f>SUM(E16+E18+E17+E19)</f>
        <v>154</v>
      </c>
      <c r="F20" s="133">
        <f>SUM(F16+F18+F17+F19)</f>
        <v>81</v>
      </c>
      <c r="G20" s="133">
        <f>SUM(G16:G19)</f>
        <v>5649</v>
      </c>
      <c r="H20" s="367">
        <f>SUM(H16:H19)</f>
        <v>38.897329801270679</v>
      </c>
      <c r="I20" s="134">
        <f>(C20+D20)/G20</f>
        <v>0.95839971676402902</v>
      </c>
      <c r="J20" s="137">
        <f>(E20+F20)/G20</f>
        <v>4.1600283235970967E-2</v>
      </c>
    </row>
    <row r="21" spans="1:10" ht="17.25" customHeight="1">
      <c r="A21" s="592" t="s">
        <v>265</v>
      </c>
      <c r="B21" s="593"/>
      <c r="C21" s="593"/>
      <c r="D21" s="593"/>
      <c r="E21" s="593"/>
      <c r="F21" s="593"/>
      <c r="G21" s="593"/>
      <c r="H21" s="593"/>
      <c r="I21" s="593"/>
      <c r="J21" s="593"/>
    </row>
    <row r="22" spans="1:10" ht="17.25" customHeight="1">
      <c r="A22" s="593"/>
      <c r="B22" s="593"/>
      <c r="C22" s="593"/>
      <c r="D22" s="593"/>
      <c r="E22" s="593"/>
      <c r="F22" s="593"/>
      <c r="G22" s="593"/>
      <c r="H22" s="593"/>
      <c r="I22" s="593"/>
      <c r="J22" s="593"/>
    </row>
  </sheetData>
  <mergeCells count="24">
    <mergeCell ref="A12:B12"/>
    <mergeCell ref="C12:D12"/>
    <mergeCell ref="E12:F12"/>
    <mergeCell ref="A14:J14"/>
    <mergeCell ref="A21:J22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1:J1"/>
    <mergeCell ref="B3:E3"/>
    <mergeCell ref="B4:C4"/>
    <mergeCell ref="A6:F6"/>
    <mergeCell ref="A7:B7"/>
    <mergeCell ref="C7:D7"/>
    <mergeCell ref="E7:F7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3"/>
  <sheetViews>
    <sheetView showGridLines="0" showWhiteSpace="0" zoomScaleNormal="100" zoomScaleSheetLayoutView="100" zoomScalePageLayoutView="70" workbookViewId="0">
      <selection activeCell="B9" sqref="B9"/>
    </sheetView>
  </sheetViews>
  <sheetFormatPr defaultColWidth="9" defaultRowHeight="15"/>
  <cols>
    <col min="1" max="1" width="35.140625" style="53" customWidth="1"/>
    <col min="2" max="2" width="12.5703125" style="54" customWidth="1"/>
    <col min="3" max="3" width="12.28515625" style="55" customWidth="1"/>
    <col min="4" max="4" width="47.85546875" style="55" customWidth="1"/>
    <col min="5" max="6" width="8" style="55" customWidth="1"/>
    <col min="7" max="7" width="8" style="54" customWidth="1"/>
    <col min="8" max="8" width="10.7109375" style="54" customWidth="1"/>
    <col min="9" max="9" width="41" style="54" customWidth="1"/>
    <col min="10" max="12" width="14.5703125" style="53" customWidth="1"/>
    <col min="13" max="16381" width="9.140625" style="53"/>
    <col min="16382" max="16384" width="9" style="53"/>
  </cols>
  <sheetData>
    <row r="1" spans="1:12" ht="18.600000000000001" customHeight="1">
      <c r="A1" s="600" t="s">
        <v>266</v>
      </c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2"/>
    </row>
    <row r="2" spans="1:12" ht="18.600000000000001" customHeight="1">
      <c r="A2" s="56"/>
      <c r="B2" s="57"/>
      <c r="C2" s="58"/>
      <c r="D2" s="58"/>
      <c r="E2" s="58"/>
      <c r="F2" s="58"/>
      <c r="G2" s="58"/>
      <c r="H2" s="58"/>
      <c r="I2" s="57"/>
      <c r="J2" s="96"/>
      <c r="K2" s="96"/>
      <c r="L2" s="97"/>
    </row>
    <row r="3" spans="1:12" ht="18.600000000000001" customHeight="1">
      <c r="A3" s="59" t="s">
        <v>6</v>
      </c>
      <c r="B3" s="603" t="str">
        <f>Capa!D5</f>
        <v>HOSPITAL REGIONAL TEREZINHA GAIO BASSO</v>
      </c>
      <c r="C3" s="604"/>
      <c r="D3" s="604"/>
      <c r="E3" s="604"/>
      <c r="G3" s="55"/>
      <c r="H3" s="55"/>
      <c r="I3" s="88"/>
      <c r="L3" s="85"/>
    </row>
    <row r="4" spans="1:12" ht="18.600000000000001" customHeight="1">
      <c r="A4" s="59" t="s">
        <v>7</v>
      </c>
      <c r="B4" s="605">
        <v>46113</v>
      </c>
      <c r="C4" s="605"/>
      <c r="G4" s="55"/>
      <c r="H4" s="55"/>
      <c r="L4" s="85"/>
    </row>
    <row r="5" spans="1:12" ht="18.600000000000001" customHeight="1">
      <c r="A5" s="59"/>
      <c r="G5" s="55"/>
      <c r="H5" s="55"/>
      <c r="L5" s="85"/>
    </row>
    <row r="6" spans="1:12" ht="18.600000000000001" customHeight="1">
      <c r="A6" s="596" t="s">
        <v>267</v>
      </c>
      <c r="B6" s="597"/>
      <c r="C6" s="60"/>
      <c r="D6" s="606" t="s">
        <v>268</v>
      </c>
      <c r="E6" s="607"/>
      <c r="F6" s="607"/>
      <c r="G6" s="608"/>
      <c r="H6" s="53"/>
      <c r="I6" s="609" t="s">
        <v>269</v>
      </c>
      <c r="J6" s="610"/>
      <c r="K6" s="610"/>
      <c r="L6" s="611"/>
    </row>
    <row r="7" spans="1:12" ht="18.600000000000001" customHeight="1">
      <c r="A7" s="61"/>
      <c r="B7" s="62" t="s">
        <v>42</v>
      </c>
      <c r="C7" s="60"/>
      <c r="D7" s="63" t="s">
        <v>270</v>
      </c>
      <c r="E7" s="613"/>
      <c r="F7" s="613"/>
      <c r="G7" s="614"/>
      <c r="H7" s="64"/>
      <c r="I7" s="612" t="s">
        <v>270</v>
      </c>
      <c r="J7" s="594"/>
      <c r="K7" s="594"/>
      <c r="L7" s="595"/>
    </row>
    <row r="8" spans="1:12" ht="30">
      <c r="A8" s="65" t="s">
        <v>271</v>
      </c>
      <c r="B8" s="66">
        <f>B19+B29+K26+F73+B52+B38</f>
        <v>539</v>
      </c>
      <c r="C8" s="60"/>
      <c r="D8" s="63"/>
      <c r="E8" s="67" t="s">
        <v>272</v>
      </c>
      <c r="F8" s="67" t="s">
        <v>273</v>
      </c>
      <c r="G8" s="68" t="s">
        <v>274</v>
      </c>
      <c r="H8" s="64"/>
      <c r="I8" s="612"/>
      <c r="J8" s="67" t="s">
        <v>272</v>
      </c>
      <c r="K8" s="67" t="s">
        <v>273</v>
      </c>
      <c r="L8" s="68" t="s">
        <v>274</v>
      </c>
    </row>
    <row r="9" spans="1:12" ht="18.600000000000001" customHeight="1">
      <c r="A9" s="69"/>
      <c r="B9" s="413" t="str">
        <f>IF(B19+B29+B38+B48+B52+E73+F73+G73+J26+K26+L26=B8,"OK","REVER")</f>
        <v>OK</v>
      </c>
      <c r="C9" s="60"/>
      <c r="D9" s="70" t="s">
        <v>275</v>
      </c>
      <c r="E9" s="71"/>
      <c r="F9" s="71">
        <v>1</v>
      </c>
      <c r="G9" s="72"/>
      <c r="H9" s="53"/>
      <c r="I9" s="70" t="s">
        <v>276</v>
      </c>
      <c r="J9" s="98"/>
      <c r="K9" s="98">
        <v>2</v>
      </c>
      <c r="L9" s="99"/>
    </row>
    <row r="10" spans="1:12" ht="18.600000000000001" customHeight="1">
      <c r="A10" s="69"/>
      <c r="B10" s="53"/>
      <c r="C10" s="60"/>
      <c r="D10" s="70" t="s">
        <v>277</v>
      </c>
      <c r="E10" s="71"/>
      <c r="F10" s="71">
        <v>1</v>
      </c>
      <c r="G10" s="72"/>
      <c r="H10" s="53"/>
      <c r="I10" s="70" t="s">
        <v>278</v>
      </c>
      <c r="J10" s="98"/>
      <c r="K10" s="98">
        <v>16</v>
      </c>
      <c r="L10" s="99"/>
    </row>
    <row r="11" spans="1:12" ht="18.600000000000001" customHeight="1">
      <c r="A11" s="596" t="s">
        <v>279</v>
      </c>
      <c r="B11" s="597"/>
      <c r="C11" s="60"/>
      <c r="D11" s="70" t="s">
        <v>280</v>
      </c>
      <c r="E11" s="71"/>
      <c r="F11" s="71">
        <v>1</v>
      </c>
      <c r="G11" s="72"/>
      <c r="H11" s="53"/>
      <c r="I11" s="70" t="s">
        <v>281</v>
      </c>
      <c r="J11" s="98"/>
      <c r="K11" s="98">
        <v>0</v>
      </c>
      <c r="L11" s="99"/>
    </row>
    <row r="12" spans="1:12" ht="18.600000000000001" customHeight="1">
      <c r="A12" s="61"/>
      <c r="B12" s="62" t="s">
        <v>42</v>
      </c>
      <c r="C12" s="60"/>
      <c r="D12" s="70" t="s">
        <v>282</v>
      </c>
      <c r="E12" s="71"/>
      <c r="F12" s="71">
        <v>1</v>
      </c>
      <c r="G12" s="72"/>
      <c r="H12" s="53"/>
      <c r="I12" s="70" t="s">
        <v>283</v>
      </c>
      <c r="J12" s="98"/>
      <c r="K12" s="98">
        <v>5</v>
      </c>
      <c r="L12" s="99"/>
    </row>
    <row r="13" spans="1:12" ht="18.600000000000001" customHeight="1">
      <c r="A13" s="61" t="s">
        <v>284</v>
      </c>
      <c r="B13" s="73">
        <v>12</v>
      </c>
      <c r="C13" s="60"/>
      <c r="D13" s="70" t="s">
        <v>285</v>
      </c>
      <c r="E13" s="71"/>
      <c r="F13" s="71">
        <v>1</v>
      </c>
      <c r="G13" s="72"/>
      <c r="H13" s="53"/>
      <c r="I13" s="70" t="s">
        <v>286</v>
      </c>
      <c r="J13" s="98"/>
      <c r="K13" s="98">
        <v>5</v>
      </c>
      <c r="L13" s="99"/>
    </row>
    <row r="14" spans="1:12" ht="18.600000000000001" customHeight="1">
      <c r="A14" s="61" t="s">
        <v>287</v>
      </c>
      <c r="B14" s="73">
        <v>21</v>
      </c>
      <c r="C14" s="60"/>
      <c r="D14" s="70" t="s">
        <v>288</v>
      </c>
      <c r="E14" s="71"/>
      <c r="F14" s="71">
        <v>0</v>
      </c>
      <c r="G14" s="72"/>
      <c r="H14" s="53"/>
      <c r="I14" s="70" t="s">
        <v>289</v>
      </c>
      <c r="J14" s="98"/>
      <c r="K14" s="98">
        <v>3</v>
      </c>
      <c r="L14" s="99"/>
    </row>
    <row r="15" spans="1:12" ht="18.600000000000001" customHeight="1">
      <c r="A15" s="74" t="s">
        <v>290</v>
      </c>
      <c r="B15" s="75">
        <f>B22+B31+B40+F73+K26</f>
        <v>436</v>
      </c>
      <c r="C15" s="60"/>
      <c r="D15" s="70" t="s">
        <v>291</v>
      </c>
      <c r="E15" s="71"/>
      <c r="F15" s="71">
        <v>1</v>
      </c>
      <c r="G15" s="72"/>
      <c r="H15" s="53"/>
      <c r="I15" s="70" t="s">
        <v>292</v>
      </c>
      <c r="J15" s="98"/>
      <c r="K15" s="98">
        <v>1</v>
      </c>
      <c r="L15" s="99"/>
    </row>
    <row r="16" spans="1:12" ht="28.5" customHeight="1">
      <c r="A16" s="76"/>
      <c r="B16" s="77"/>
      <c r="C16" s="60"/>
      <c r="D16" s="70" t="s">
        <v>293</v>
      </c>
      <c r="E16" s="71"/>
      <c r="F16" s="71">
        <v>1</v>
      </c>
      <c r="G16" s="72"/>
      <c r="H16" s="53"/>
      <c r="I16" s="70" t="s">
        <v>294</v>
      </c>
      <c r="J16" s="98"/>
      <c r="K16" s="98">
        <v>8</v>
      </c>
      <c r="L16" s="99"/>
    </row>
    <row r="17" spans="1:12" ht="18.95" customHeight="1">
      <c r="A17" s="598" t="s">
        <v>295</v>
      </c>
      <c r="B17" s="599"/>
      <c r="C17" s="60"/>
      <c r="D17" s="70" t="s">
        <v>296</v>
      </c>
      <c r="E17" s="71"/>
      <c r="F17" s="71">
        <v>1</v>
      </c>
      <c r="G17" s="72"/>
      <c r="H17" s="53"/>
      <c r="I17" s="70" t="s">
        <v>297</v>
      </c>
      <c r="J17" s="98"/>
      <c r="K17" s="98">
        <v>1</v>
      </c>
      <c r="L17" s="99"/>
    </row>
    <row r="18" spans="1:12" ht="29.1" customHeight="1">
      <c r="A18" s="78"/>
      <c r="B18" s="79" t="s">
        <v>42</v>
      </c>
      <c r="C18" s="60"/>
      <c r="D18" s="70" t="s">
        <v>298</v>
      </c>
      <c r="E18" s="71"/>
      <c r="F18" s="71">
        <v>3</v>
      </c>
      <c r="G18" s="72"/>
      <c r="H18" s="53"/>
      <c r="I18" s="70" t="s">
        <v>299</v>
      </c>
      <c r="J18" s="98"/>
      <c r="K18" s="98">
        <v>14</v>
      </c>
      <c r="L18" s="99"/>
    </row>
    <row r="19" spans="1:12" ht="31.5" customHeight="1">
      <c r="A19" s="74" t="s">
        <v>300</v>
      </c>
      <c r="B19" s="80">
        <f>SUM(B20:B23)</f>
        <v>103</v>
      </c>
      <c r="C19" s="60"/>
      <c r="D19" s="70" t="s">
        <v>301</v>
      </c>
      <c r="E19" s="71"/>
      <c r="F19" s="71">
        <v>1</v>
      </c>
      <c r="G19" s="72"/>
      <c r="H19" s="53"/>
      <c r="I19" s="70" t="s">
        <v>302</v>
      </c>
      <c r="J19" s="98"/>
      <c r="K19" s="98">
        <v>1</v>
      </c>
      <c r="L19" s="99"/>
    </row>
    <row r="20" spans="1:12" ht="18.600000000000001" customHeight="1">
      <c r="A20" s="61" t="s">
        <v>303</v>
      </c>
      <c r="B20" s="81">
        <v>103</v>
      </c>
      <c r="C20" s="60"/>
      <c r="D20" s="70" t="s">
        <v>304</v>
      </c>
      <c r="E20" s="71"/>
      <c r="F20" s="71">
        <v>1</v>
      </c>
      <c r="G20" s="72"/>
      <c r="H20" s="53"/>
      <c r="I20" s="70" t="s">
        <v>305</v>
      </c>
      <c r="J20" s="98"/>
      <c r="K20" s="98">
        <v>1</v>
      </c>
      <c r="L20" s="99"/>
    </row>
    <row r="21" spans="1:12" ht="18.600000000000001" customHeight="1">
      <c r="A21" s="82" t="s">
        <v>272</v>
      </c>
      <c r="B21" s="81">
        <v>0</v>
      </c>
      <c r="C21" s="60"/>
      <c r="D21" s="70" t="s">
        <v>306</v>
      </c>
      <c r="E21" s="71"/>
      <c r="F21" s="71">
        <v>0</v>
      </c>
      <c r="G21" s="72"/>
      <c r="H21" s="53"/>
      <c r="I21" s="70" t="s">
        <v>307</v>
      </c>
      <c r="J21" s="98"/>
      <c r="K21" s="98">
        <v>2</v>
      </c>
      <c r="L21" s="99"/>
    </row>
    <row r="22" spans="1:12" ht="18.600000000000001" customHeight="1">
      <c r="A22" s="82" t="s">
        <v>308</v>
      </c>
      <c r="B22" s="83">
        <v>0</v>
      </c>
      <c r="C22" s="54"/>
      <c r="D22" s="70" t="s">
        <v>309</v>
      </c>
      <c r="E22" s="71"/>
      <c r="F22" s="71">
        <v>4</v>
      </c>
      <c r="G22" s="72"/>
      <c r="H22" s="53"/>
      <c r="I22" s="95" t="s">
        <v>310</v>
      </c>
      <c r="J22" s="100"/>
      <c r="K22" s="100">
        <v>0</v>
      </c>
      <c r="L22" s="101"/>
    </row>
    <row r="23" spans="1:12" ht="18.600000000000001" customHeight="1" thickBot="1">
      <c r="A23" s="74" t="s">
        <v>311</v>
      </c>
      <c r="B23" s="84">
        <v>0</v>
      </c>
      <c r="C23" s="54"/>
      <c r="D23" s="70" t="s">
        <v>312</v>
      </c>
      <c r="E23" s="71"/>
      <c r="F23" s="71">
        <v>1</v>
      </c>
      <c r="G23" s="72"/>
      <c r="H23" s="53"/>
      <c r="I23" s="401" t="s">
        <v>313</v>
      </c>
      <c r="J23" s="102"/>
      <c r="K23" s="102"/>
      <c r="L23" s="102"/>
    </row>
    <row r="24" spans="1:12" ht="18.600000000000001" customHeight="1">
      <c r="A24" s="76"/>
      <c r="B24" s="64"/>
      <c r="C24" s="54"/>
      <c r="D24" s="70" t="s">
        <v>314</v>
      </c>
      <c r="E24" s="71"/>
      <c r="F24" s="71">
        <v>8</v>
      </c>
      <c r="G24" s="72"/>
      <c r="H24" s="53"/>
      <c r="I24" s="404" t="s">
        <v>914</v>
      </c>
      <c r="J24" s="103"/>
      <c r="K24" s="86">
        <v>4</v>
      </c>
      <c r="L24" s="102"/>
    </row>
    <row r="25" spans="1:12" ht="18.600000000000001" customHeight="1">
      <c r="A25" s="76"/>
      <c r="B25" s="64"/>
      <c r="C25" s="54"/>
      <c r="D25" s="70" t="s">
        <v>315</v>
      </c>
      <c r="E25" s="71"/>
      <c r="F25" s="71">
        <v>10</v>
      </c>
      <c r="G25" s="72"/>
      <c r="H25" s="53"/>
      <c r="I25" s="102"/>
      <c r="J25" s="103"/>
      <c r="K25" s="102"/>
      <c r="L25" s="102"/>
    </row>
    <row r="26" spans="1:12" ht="18.600000000000001" customHeight="1">
      <c r="A26" s="69"/>
      <c r="B26" s="55"/>
      <c r="C26" s="54"/>
      <c r="D26" s="70" t="s">
        <v>316</v>
      </c>
      <c r="E26" s="407"/>
      <c r="F26" s="409">
        <v>26</v>
      </c>
      <c r="G26" s="408"/>
      <c r="H26" s="53"/>
      <c r="I26" s="86" t="s">
        <v>39</v>
      </c>
      <c r="J26" s="104">
        <f>SUM(J9:J25)</f>
        <v>0</v>
      </c>
      <c r="K26" s="104">
        <f>SUM(K9:K25)</f>
        <v>63</v>
      </c>
      <c r="L26" s="104">
        <f>SUM(L9:L25)</f>
        <v>0</v>
      </c>
    </row>
    <row r="27" spans="1:12">
      <c r="A27" s="596" t="s">
        <v>317</v>
      </c>
      <c r="B27" s="597"/>
      <c r="C27" s="54"/>
      <c r="D27" s="70" t="s">
        <v>318</v>
      </c>
      <c r="E27" s="53"/>
      <c r="F27" s="410">
        <v>1</v>
      </c>
      <c r="G27" s="85"/>
      <c r="H27" s="53"/>
      <c r="I27" s="53"/>
      <c r="J27" s="55"/>
      <c r="L27" s="85"/>
    </row>
    <row r="28" spans="1:12" ht="18.600000000000001" customHeight="1">
      <c r="A28" s="61"/>
      <c r="B28" s="62" t="s">
        <v>42</v>
      </c>
      <c r="C28" s="54"/>
      <c r="D28" s="70" t="s">
        <v>319</v>
      </c>
      <c r="E28" s="71"/>
      <c r="F28" s="71">
        <v>1</v>
      </c>
      <c r="G28" s="72"/>
      <c r="H28" s="53"/>
      <c r="I28" s="53"/>
      <c r="J28" s="55"/>
      <c r="L28" s="85"/>
    </row>
    <row r="29" spans="1:12">
      <c r="A29" s="74" t="s">
        <v>320</v>
      </c>
      <c r="B29" s="80">
        <f>SUM(B30:B32)</f>
        <v>43</v>
      </c>
      <c r="C29" s="54"/>
      <c r="D29" s="70" t="s">
        <v>321</v>
      </c>
      <c r="E29" s="71"/>
      <c r="F29" s="71">
        <v>1</v>
      </c>
      <c r="G29" s="72"/>
      <c r="H29" s="53"/>
      <c r="I29" s="53"/>
      <c r="J29" s="55"/>
      <c r="L29" s="85"/>
    </row>
    <row r="30" spans="1:12" ht="18.600000000000001" customHeight="1">
      <c r="A30" s="82" t="s">
        <v>272</v>
      </c>
      <c r="B30" s="81">
        <v>0</v>
      </c>
      <c r="D30" s="70" t="s">
        <v>322</v>
      </c>
      <c r="E30" s="71"/>
      <c r="F30" s="71">
        <v>1</v>
      </c>
      <c r="G30" s="72"/>
      <c r="H30" s="53"/>
      <c r="I30" s="53"/>
      <c r="J30" s="55"/>
      <c r="L30" s="85"/>
    </row>
    <row r="31" spans="1:12" ht="18.600000000000001" customHeight="1">
      <c r="A31" s="82" t="s">
        <v>308</v>
      </c>
      <c r="B31" s="83">
        <v>43</v>
      </c>
      <c r="D31" s="70" t="s">
        <v>323</v>
      </c>
      <c r="E31" s="86"/>
      <c r="F31" s="86">
        <v>0</v>
      </c>
      <c r="G31" s="87"/>
      <c r="H31" s="53"/>
      <c r="I31" s="53"/>
      <c r="J31" s="55"/>
      <c r="L31" s="85"/>
    </row>
    <row r="32" spans="1:12" ht="18.600000000000001" customHeight="1">
      <c r="A32" s="74" t="s">
        <v>311</v>
      </c>
      <c r="B32" s="84">
        <v>0</v>
      </c>
      <c r="D32" s="70" t="s">
        <v>324</v>
      </c>
      <c r="E32" s="86"/>
      <c r="F32" s="86">
        <v>8</v>
      </c>
      <c r="G32" s="87"/>
      <c r="H32" s="53"/>
      <c r="I32" s="53"/>
      <c r="J32" s="55"/>
      <c r="L32" s="85"/>
    </row>
    <row r="33" spans="1:12" ht="18.600000000000001" customHeight="1">
      <c r="A33" s="76"/>
      <c r="B33" s="64"/>
      <c r="C33" s="88"/>
      <c r="D33" s="70" t="s">
        <v>325</v>
      </c>
      <c r="E33" s="86"/>
      <c r="F33" s="86">
        <v>1</v>
      </c>
      <c r="G33" s="87"/>
      <c r="H33" s="53"/>
      <c r="I33" s="53"/>
      <c r="J33" s="55"/>
      <c r="L33" s="85"/>
    </row>
    <row r="34" spans="1:12" ht="18.600000000000001" customHeight="1">
      <c r="A34" s="76"/>
      <c r="B34" s="64"/>
      <c r="D34" s="70" t="s">
        <v>326</v>
      </c>
      <c r="E34" s="86"/>
      <c r="F34" s="86">
        <v>5</v>
      </c>
      <c r="G34" s="87"/>
      <c r="H34" s="53"/>
      <c r="I34" s="53"/>
      <c r="J34" s="55"/>
      <c r="L34" s="85"/>
    </row>
    <row r="35" spans="1:12" ht="18.600000000000001" customHeight="1">
      <c r="A35" s="89"/>
      <c r="D35" s="70" t="s">
        <v>327</v>
      </c>
      <c r="E35" s="86"/>
      <c r="F35" s="86">
        <v>1</v>
      </c>
      <c r="G35" s="87"/>
      <c r="H35" s="53"/>
      <c r="I35" s="53"/>
      <c r="L35" s="85"/>
    </row>
    <row r="36" spans="1:12" ht="18.600000000000001" customHeight="1">
      <c r="A36" s="596" t="s">
        <v>328</v>
      </c>
      <c r="B36" s="597"/>
      <c r="D36" s="70" t="s">
        <v>329</v>
      </c>
      <c r="E36" s="86"/>
      <c r="F36" s="86">
        <v>0</v>
      </c>
      <c r="G36" s="87"/>
      <c r="H36" s="53"/>
      <c r="I36" s="53"/>
      <c r="L36" s="85"/>
    </row>
    <row r="37" spans="1:12">
      <c r="A37" s="61"/>
      <c r="B37" s="62" t="s">
        <v>42</v>
      </c>
      <c r="D37" s="70" t="s">
        <v>330</v>
      </c>
      <c r="E37" s="86"/>
      <c r="F37" s="86">
        <v>0</v>
      </c>
      <c r="G37" s="87"/>
      <c r="H37" s="53"/>
      <c r="I37" s="53"/>
      <c r="L37" s="85"/>
    </row>
    <row r="38" spans="1:12">
      <c r="A38" s="65" t="s">
        <v>331</v>
      </c>
      <c r="B38" s="90">
        <f>SUM(B39:B41)</f>
        <v>186</v>
      </c>
      <c r="D38" s="70" t="s">
        <v>332</v>
      </c>
      <c r="E38" s="86"/>
      <c r="F38" s="86">
        <v>1</v>
      </c>
      <c r="G38" s="87"/>
      <c r="H38" s="53"/>
      <c r="I38" s="53"/>
      <c r="L38" s="85"/>
    </row>
    <row r="39" spans="1:12">
      <c r="A39" s="82" t="s">
        <v>272</v>
      </c>
      <c r="B39" s="81">
        <v>0</v>
      </c>
      <c r="D39" s="70" t="s">
        <v>333</v>
      </c>
      <c r="E39" s="86"/>
      <c r="F39" s="86">
        <v>2</v>
      </c>
      <c r="G39" s="87"/>
      <c r="H39" s="53"/>
      <c r="I39" s="53"/>
      <c r="L39" s="85"/>
    </row>
    <row r="40" spans="1:12">
      <c r="A40" s="82" t="s">
        <v>308</v>
      </c>
      <c r="B40" s="83">
        <v>186</v>
      </c>
      <c r="D40" s="70" t="s">
        <v>334</v>
      </c>
      <c r="E40" s="86"/>
      <c r="F40" s="86">
        <v>1</v>
      </c>
      <c r="G40" s="87"/>
      <c r="H40" s="53"/>
      <c r="I40" s="53"/>
      <c r="L40" s="85"/>
    </row>
    <row r="41" spans="1:12">
      <c r="A41" s="74" t="s">
        <v>311</v>
      </c>
      <c r="B41" s="84">
        <v>0</v>
      </c>
      <c r="D41" s="70" t="s">
        <v>335</v>
      </c>
      <c r="E41" s="86"/>
      <c r="F41" s="86">
        <v>1</v>
      </c>
      <c r="G41" s="87"/>
      <c r="H41" s="53"/>
      <c r="I41" s="53"/>
      <c r="L41" s="85"/>
    </row>
    <row r="42" spans="1:12">
      <c r="A42" s="76"/>
      <c r="B42" s="64"/>
      <c r="D42" s="70" t="s">
        <v>336</v>
      </c>
      <c r="E42" s="86"/>
      <c r="F42" s="86">
        <v>1</v>
      </c>
      <c r="G42" s="87"/>
      <c r="H42" s="53"/>
      <c r="I42" s="53"/>
      <c r="L42" s="85"/>
    </row>
    <row r="43" spans="1:12">
      <c r="A43" s="76"/>
      <c r="B43" s="64"/>
      <c r="D43" s="70" t="s">
        <v>337</v>
      </c>
      <c r="E43" s="86"/>
      <c r="F43" s="86">
        <v>0</v>
      </c>
      <c r="G43" s="87"/>
      <c r="H43" s="53"/>
      <c r="I43" s="53"/>
      <c r="L43" s="85"/>
    </row>
    <row r="44" spans="1:12">
      <c r="A44" s="69"/>
      <c r="D44" s="70" t="s">
        <v>338</v>
      </c>
      <c r="E44" s="86"/>
      <c r="F44" s="86">
        <v>1</v>
      </c>
      <c r="G44" s="87"/>
      <c r="H44" s="53"/>
      <c r="I44" s="53"/>
      <c r="L44" s="85"/>
    </row>
    <row r="45" spans="1:12" ht="30">
      <c r="A45" s="69"/>
      <c r="D45" s="70" t="s">
        <v>339</v>
      </c>
      <c r="E45" s="86"/>
      <c r="F45" s="86">
        <v>8</v>
      </c>
      <c r="G45" s="87"/>
      <c r="H45" s="53"/>
      <c r="I45" s="53"/>
      <c r="L45" s="85"/>
    </row>
    <row r="46" spans="1:12">
      <c r="A46" s="596" t="s">
        <v>340</v>
      </c>
      <c r="B46" s="597"/>
      <c r="D46" s="70" t="s">
        <v>341</v>
      </c>
      <c r="E46" s="86"/>
      <c r="F46" s="86">
        <v>1</v>
      </c>
      <c r="G46" s="87"/>
      <c r="H46" s="53"/>
      <c r="I46" s="53"/>
      <c r="L46" s="85"/>
    </row>
    <row r="47" spans="1:12">
      <c r="A47" s="61"/>
      <c r="B47" s="62" t="s">
        <v>42</v>
      </c>
      <c r="D47" s="70" t="s">
        <v>342</v>
      </c>
      <c r="E47" s="86"/>
      <c r="F47" s="86">
        <v>0</v>
      </c>
      <c r="G47" s="87"/>
      <c r="H47" s="53"/>
      <c r="I47" s="53"/>
      <c r="L47" s="85"/>
    </row>
    <row r="48" spans="1:12" ht="30">
      <c r="A48" s="65" t="s">
        <v>343</v>
      </c>
      <c r="B48" s="66">
        <v>0</v>
      </c>
      <c r="D48" s="70" t="s">
        <v>344</v>
      </c>
      <c r="E48" s="86"/>
      <c r="F48" s="86">
        <v>0</v>
      </c>
      <c r="G48" s="87"/>
      <c r="H48" s="53"/>
      <c r="I48" s="53"/>
      <c r="L48" s="85"/>
    </row>
    <row r="49" spans="1:12">
      <c r="A49" s="69"/>
      <c r="D49" s="70" t="s">
        <v>345</v>
      </c>
      <c r="E49" s="86"/>
      <c r="F49" s="86">
        <v>1</v>
      </c>
      <c r="G49" s="87"/>
      <c r="H49" s="53"/>
      <c r="I49" s="53"/>
      <c r="L49" s="85"/>
    </row>
    <row r="50" spans="1:12">
      <c r="A50" s="596" t="s">
        <v>346</v>
      </c>
      <c r="B50" s="597"/>
      <c r="D50" s="70" t="s">
        <v>347</v>
      </c>
      <c r="E50" s="86"/>
      <c r="F50" s="86">
        <v>2</v>
      </c>
      <c r="G50" s="87"/>
      <c r="H50" s="53"/>
      <c r="I50" s="53"/>
      <c r="L50" s="85"/>
    </row>
    <row r="51" spans="1:12">
      <c r="A51" s="78"/>
      <c r="B51" s="62" t="s">
        <v>42</v>
      </c>
      <c r="D51" s="70" t="s">
        <v>348</v>
      </c>
      <c r="E51" s="86"/>
      <c r="F51" s="86">
        <v>19</v>
      </c>
      <c r="G51" s="87"/>
      <c r="H51" s="53"/>
      <c r="I51" s="53"/>
      <c r="L51" s="85"/>
    </row>
    <row r="52" spans="1:12">
      <c r="A52" s="91" t="s">
        <v>349</v>
      </c>
      <c r="B52" s="92">
        <f>SUM(B53:B56)</f>
        <v>0</v>
      </c>
      <c r="D52" s="70" t="s">
        <v>350</v>
      </c>
      <c r="E52" s="86"/>
      <c r="F52" s="86">
        <v>1</v>
      </c>
      <c r="G52" s="87"/>
      <c r="H52" s="53"/>
      <c r="I52" s="53"/>
      <c r="L52" s="85"/>
    </row>
    <row r="53" spans="1:12">
      <c r="A53" s="93"/>
      <c r="B53" s="81">
        <v>0</v>
      </c>
      <c r="D53" s="70" t="s">
        <v>351</v>
      </c>
      <c r="E53" s="86"/>
      <c r="F53" s="86">
        <v>1</v>
      </c>
      <c r="G53" s="87"/>
      <c r="H53" s="53"/>
      <c r="I53" s="53"/>
      <c r="L53" s="85"/>
    </row>
    <row r="54" spans="1:12">
      <c r="A54" s="93"/>
      <c r="B54" s="81">
        <v>0</v>
      </c>
      <c r="D54" s="70" t="s">
        <v>352</v>
      </c>
      <c r="E54" s="86"/>
      <c r="F54" s="86">
        <v>0</v>
      </c>
      <c r="G54" s="87"/>
      <c r="H54" s="53"/>
      <c r="I54" s="53"/>
      <c r="L54" s="85"/>
    </row>
    <row r="55" spans="1:12">
      <c r="A55" s="61"/>
      <c r="B55" s="81">
        <v>0</v>
      </c>
      <c r="D55" s="70" t="s">
        <v>353</v>
      </c>
      <c r="E55" s="86"/>
      <c r="F55" s="86">
        <v>1</v>
      </c>
      <c r="G55" s="87"/>
      <c r="H55" s="53"/>
      <c r="I55" s="53"/>
      <c r="L55" s="85"/>
    </row>
    <row r="56" spans="1:12">
      <c r="A56" s="94"/>
      <c r="B56" s="84">
        <v>0</v>
      </c>
      <c r="D56" s="70" t="s">
        <v>354</v>
      </c>
      <c r="E56" s="86"/>
      <c r="F56" s="86">
        <v>2</v>
      </c>
      <c r="G56" s="87"/>
      <c r="H56" s="53"/>
      <c r="I56" s="53"/>
      <c r="L56" s="85"/>
    </row>
    <row r="57" spans="1:12">
      <c r="A57" s="69"/>
      <c r="B57" s="53"/>
      <c r="D57" s="70" t="s">
        <v>355</v>
      </c>
      <c r="E57" s="86"/>
      <c r="F57" s="86">
        <v>2</v>
      </c>
      <c r="G57" s="87"/>
      <c r="H57" s="53"/>
      <c r="I57" s="53"/>
      <c r="L57" s="85"/>
    </row>
    <row r="58" spans="1:12">
      <c r="A58" s="69"/>
      <c r="D58" s="70" t="s">
        <v>356</v>
      </c>
      <c r="E58" s="86"/>
      <c r="F58" s="86">
        <v>2</v>
      </c>
      <c r="G58" s="87"/>
      <c r="H58" s="53"/>
      <c r="I58" s="53"/>
      <c r="L58" s="85"/>
    </row>
    <row r="59" spans="1:12">
      <c r="A59" s="69"/>
      <c r="D59" s="401" t="s">
        <v>313</v>
      </c>
      <c r="E59" s="86"/>
      <c r="F59" s="86"/>
      <c r="G59" s="87"/>
      <c r="H59" s="53"/>
      <c r="I59" s="53"/>
      <c r="L59" s="85"/>
    </row>
    <row r="60" spans="1:12">
      <c r="A60" s="69"/>
      <c r="D60" s="404" t="s">
        <v>918</v>
      </c>
      <c r="E60" s="405"/>
      <c r="F60" s="406">
        <v>1</v>
      </c>
      <c r="G60" s="87"/>
      <c r="H60" s="53"/>
      <c r="I60" s="53"/>
      <c r="L60" s="85"/>
    </row>
    <row r="61" spans="1:12">
      <c r="A61" s="69"/>
      <c r="D61" s="403" t="s">
        <v>915</v>
      </c>
      <c r="E61" s="406"/>
      <c r="F61" s="406">
        <v>1</v>
      </c>
      <c r="G61" s="87"/>
      <c r="H61" s="53"/>
      <c r="I61" s="53"/>
      <c r="L61" s="85"/>
    </row>
    <row r="62" spans="1:12">
      <c r="A62" s="69"/>
      <c r="C62" s="53"/>
      <c r="D62" s="402" t="s">
        <v>907</v>
      </c>
      <c r="E62" s="406"/>
      <c r="F62" s="406">
        <v>2</v>
      </c>
      <c r="G62" s="87"/>
      <c r="H62" s="53"/>
      <c r="I62" s="53"/>
      <c r="L62" s="85"/>
    </row>
    <row r="63" spans="1:12">
      <c r="A63" s="69"/>
      <c r="C63" s="53"/>
      <c r="D63" s="403" t="s">
        <v>908</v>
      </c>
      <c r="E63" s="406"/>
      <c r="F63" s="406">
        <v>1</v>
      </c>
      <c r="G63" s="86"/>
      <c r="H63" s="53"/>
      <c r="I63" s="53"/>
      <c r="L63" s="85"/>
    </row>
    <row r="64" spans="1:12">
      <c r="A64" s="69"/>
      <c r="D64" s="403" t="s">
        <v>909</v>
      </c>
      <c r="E64" s="406"/>
      <c r="F64" s="406">
        <v>1</v>
      </c>
      <c r="G64" s="86"/>
      <c r="L64" s="85"/>
    </row>
    <row r="65" spans="1:12">
      <c r="A65" s="69"/>
      <c r="D65" s="403" t="s">
        <v>910</v>
      </c>
      <c r="E65" s="406"/>
      <c r="F65" s="406">
        <v>1</v>
      </c>
      <c r="G65" s="86"/>
      <c r="L65" s="85"/>
    </row>
    <row r="66" spans="1:12">
      <c r="A66" s="69"/>
      <c r="D66" s="403" t="s">
        <v>913</v>
      </c>
      <c r="E66" s="105"/>
      <c r="F66" s="105">
        <v>1</v>
      </c>
      <c r="G66" s="105"/>
      <c r="L66" s="85"/>
    </row>
    <row r="67" spans="1:12">
      <c r="A67" s="69"/>
      <c r="D67" s="403" t="s">
        <v>912</v>
      </c>
      <c r="E67" s="406"/>
      <c r="F67" s="406">
        <v>1</v>
      </c>
      <c r="G67" s="86"/>
      <c r="H67" s="53"/>
      <c r="I67" s="53"/>
      <c r="L67" s="85"/>
    </row>
    <row r="68" spans="1:12">
      <c r="A68" s="69"/>
      <c r="D68" s="403" t="s">
        <v>911</v>
      </c>
      <c r="E68" s="105"/>
      <c r="F68" s="105">
        <v>5</v>
      </c>
      <c r="G68" s="105"/>
      <c r="I68" s="53"/>
      <c r="L68" s="85"/>
    </row>
    <row r="69" spans="1:12">
      <c r="A69" s="69"/>
      <c r="D69" s="404" t="s">
        <v>917</v>
      </c>
      <c r="E69" s="406"/>
      <c r="F69" s="406">
        <v>1</v>
      </c>
      <c r="G69" s="86"/>
      <c r="H69" s="53"/>
      <c r="I69" s="53"/>
      <c r="L69" s="85"/>
    </row>
    <row r="70" spans="1:12">
      <c r="A70" s="69"/>
      <c r="D70" s="404" t="s">
        <v>916</v>
      </c>
      <c r="E70" s="406"/>
      <c r="F70" s="406">
        <v>1</v>
      </c>
      <c r="G70" s="86"/>
      <c r="H70" s="53"/>
      <c r="I70" s="53"/>
      <c r="L70" s="85"/>
    </row>
    <row r="71" spans="1:12">
      <c r="A71" s="69"/>
      <c r="D71" s="103"/>
      <c r="E71" s="103"/>
      <c r="F71" s="102"/>
      <c r="G71" s="102"/>
      <c r="H71" s="53"/>
      <c r="I71" s="53"/>
      <c r="L71" s="85"/>
    </row>
    <row r="72" spans="1:12">
      <c r="A72" s="69"/>
      <c r="D72" s="103"/>
      <c r="E72" s="103"/>
      <c r="F72" s="102"/>
      <c r="G72" s="102"/>
      <c r="H72" s="53"/>
      <c r="I72" s="53"/>
      <c r="L72" s="85"/>
    </row>
    <row r="73" spans="1:12">
      <c r="A73" s="106"/>
      <c r="B73" s="107"/>
      <c r="C73" s="108"/>
      <c r="D73" s="109" t="s">
        <v>39</v>
      </c>
      <c r="E73" s="110">
        <f>SUM(E9:E72)</f>
        <v>0</v>
      </c>
      <c r="F73" s="110">
        <f>SUM(F9:F72)</f>
        <v>144</v>
      </c>
      <c r="G73" s="110">
        <f>SUM(G9:G72)</f>
        <v>0</v>
      </c>
      <c r="H73" s="111"/>
      <c r="I73" s="111"/>
      <c r="J73" s="111"/>
      <c r="K73" s="111"/>
      <c r="L73" s="112"/>
    </row>
    <row r="74" spans="1:12">
      <c r="F74" s="53"/>
      <c r="G74" s="53"/>
      <c r="H74" s="53"/>
      <c r="I74" s="53"/>
    </row>
    <row r="75" spans="1:12">
      <c r="F75" s="53"/>
      <c r="G75" s="53"/>
      <c r="H75" s="53"/>
      <c r="I75" s="53"/>
    </row>
    <row r="76" spans="1:12">
      <c r="F76" s="53"/>
      <c r="G76" s="53"/>
      <c r="H76" s="53"/>
      <c r="I76" s="53"/>
    </row>
    <row r="77" spans="1:12">
      <c r="F77" s="53"/>
      <c r="G77" s="53"/>
      <c r="H77" s="53"/>
      <c r="I77" s="53"/>
    </row>
    <row r="78" spans="1:12">
      <c r="F78" s="53"/>
      <c r="G78" s="53"/>
      <c r="H78" s="53"/>
      <c r="I78" s="53"/>
    </row>
    <row r="79" spans="1:12">
      <c r="F79" s="53"/>
      <c r="G79" s="53"/>
      <c r="H79" s="53"/>
      <c r="I79" s="53"/>
    </row>
    <row r="80" spans="1:12">
      <c r="F80" s="53"/>
      <c r="G80" s="53"/>
      <c r="H80" s="53"/>
      <c r="I80" s="53"/>
    </row>
    <row r="81" spans="6:9">
      <c r="F81" s="53"/>
      <c r="G81" s="53"/>
      <c r="H81" s="53"/>
      <c r="I81" s="53"/>
    </row>
    <row r="82" spans="6:9">
      <c r="F82" s="53"/>
      <c r="G82" s="53"/>
      <c r="H82" s="53"/>
      <c r="I82" s="53"/>
    </row>
    <row r="83" spans="6:9">
      <c r="F83" s="53"/>
      <c r="G83" s="53"/>
      <c r="H83" s="53"/>
      <c r="I83" s="53"/>
    </row>
  </sheetData>
  <sortState xmlns:xlrd2="http://schemas.microsoft.com/office/spreadsheetml/2017/richdata2" ref="A75:A134">
    <sortCondition ref="A75"/>
  </sortState>
  <mergeCells count="15">
    <mergeCell ref="A36:B36"/>
    <mergeCell ref="A46:B46"/>
    <mergeCell ref="A50:B50"/>
    <mergeCell ref="I7:I8"/>
    <mergeCell ref="E7:G7"/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48"/>
  <sheetViews>
    <sheetView showGridLines="0" view="pageBreakPreview" zoomScaleNormal="100" zoomScaleSheetLayoutView="100" zoomScalePageLayoutView="70" workbookViewId="0">
      <selection activeCell="B10" sqref="B10"/>
    </sheetView>
  </sheetViews>
  <sheetFormatPr defaultColWidth="4.28515625" defaultRowHeight="12.75"/>
  <cols>
    <col min="1" max="1" width="56.42578125" style="51" customWidth="1"/>
    <col min="2" max="2" width="21.28515625" style="51" customWidth="1"/>
    <col min="3" max="3" width="7.42578125" style="52" customWidth="1"/>
    <col min="4" max="4" width="51.85546875" style="52" customWidth="1"/>
    <col min="5" max="5" width="18" style="52" customWidth="1"/>
    <col min="6" max="6" width="24" style="52" customWidth="1"/>
    <col min="7" max="7" width="17" style="52" customWidth="1"/>
    <col min="8" max="16384" width="4.28515625" style="52"/>
  </cols>
  <sheetData>
    <row r="1" spans="1:7" ht="18.600000000000001" customHeight="1" thickBot="1">
      <c r="A1" s="620" t="s">
        <v>357</v>
      </c>
      <c r="B1" s="621"/>
      <c r="C1" s="621"/>
      <c r="D1" s="621"/>
      <c r="E1" s="621"/>
      <c r="F1" s="621"/>
      <c r="G1" s="622"/>
    </row>
    <row r="2" spans="1:7" ht="18.600000000000001" customHeight="1" thickBot="1">
      <c r="A2" s="623" t="s">
        <v>358</v>
      </c>
      <c r="B2" s="624"/>
      <c r="C2" s="368"/>
      <c r="D2" s="625" t="s">
        <v>359</v>
      </c>
      <c r="E2" s="625"/>
      <c r="F2" s="625"/>
      <c r="G2" s="625"/>
    </row>
    <row r="3" spans="1:7" ht="18.600000000000001" customHeight="1">
      <c r="A3" s="39"/>
      <c r="B3" s="37" t="s">
        <v>360</v>
      </c>
      <c r="C3" s="370"/>
      <c r="D3" s="371" t="s">
        <v>361</v>
      </c>
      <c r="E3" s="371" t="s">
        <v>362</v>
      </c>
      <c r="F3" s="371" t="s">
        <v>363</v>
      </c>
      <c r="G3" s="372" t="s">
        <v>364</v>
      </c>
    </row>
    <row r="4" spans="1:7" ht="18.600000000000001" customHeight="1">
      <c r="A4" s="39" t="s">
        <v>365</v>
      </c>
      <c r="B4" s="373">
        <v>1319.8</v>
      </c>
      <c r="C4" s="374">
        <v>22776</v>
      </c>
      <c r="D4" s="375" t="s">
        <v>496</v>
      </c>
      <c r="E4" s="376" t="s">
        <v>497</v>
      </c>
      <c r="F4" s="376" t="s">
        <v>498</v>
      </c>
      <c r="G4" s="377">
        <v>5.6</v>
      </c>
    </row>
    <row r="5" spans="1:7" ht="18.600000000000001" customHeight="1" thickBot="1">
      <c r="A5" s="42" t="s">
        <v>366</v>
      </c>
      <c r="B5" s="378">
        <v>476592.14</v>
      </c>
      <c r="C5" s="374">
        <v>4747</v>
      </c>
      <c r="D5" s="375" t="s">
        <v>499</v>
      </c>
      <c r="E5" s="376" t="s">
        <v>57</v>
      </c>
      <c r="F5" s="376" t="s">
        <v>57</v>
      </c>
      <c r="G5" s="377" t="s">
        <v>57</v>
      </c>
    </row>
    <row r="6" spans="1:7" ht="18.600000000000001" customHeight="1" thickBot="1">
      <c r="A6" s="39"/>
      <c r="B6" s="37"/>
      <c r="C6" s="374">
        <v>25285</v>
      </c>
      <c r="D6" s="375" t="s">
        <v>500</v>
      </c>
      <c r="E6" s="376" t="s">
        <v>501</v>
      </c>
      <c r="F6" s="376" t="s">
        <v>502</v>
      </c>
      <c r="G6" s="377">
        <v>1950</v>
      </c>
    </row>
    <row r="7" spans="1:7" ht="18.600000000000001" customHeight="1" thickBot="1">
      <c r="A7" s="626" t="s">
        <v>367</v>
      </c>
      <c r="B7" s="627"/>
      <c r="C7" s="374">
        <v>12434</v>
      </c>
      <c r="D7" s="375" t="s">
        <v>503</v>
      </c>
      <c r="E7" s="376" t="s">
        <v>504</v>
      </c>
      <c r="F7" s="376" t="s">
        <v>505</v>
      </c>
      <c r="G7" s="377">
        <v>2495</v>
      </c>
    </row>
    <row r="8" spans="1:7" ht="18.600000000000001" customHeight="1">
      <c r="A8" s="39"/>
      <c r="B8" s="37" t="s">
        <v>368</v>
      </c>
      <c r="C8" s="374">
        <v>14365</v>
      </c>
      <c r="D8" s="375" t="s">
        <v>506</v>
      </c>
      <c r="E8" s="376" t="s">
        <v>497</v>
      </c>
      <c r="F8" s="376" t="s">
        <v>507</v>
      </c>
      <c r="G8" s="377">
        <v>10.199999999999999</v>
      </c>
    </row>
    <row r="9" spans="1:7" ht="18.600000000000001" customHeight="1">
      <c r="A9" s="39" t="s">
        <v>369</v>
      </c>
      <c r="B9" s="45">
        <v>5</v>
      </c>
      <c r="C9" s="374">
        <v>19749</v>
      </c>
      <c r="D9" s="375" t="s">
        <v>508</v>
      </c>
      <c r="E9" s="376" t="s">
        <v>509</v>
      </c>
      <c r="F9" s="376" t="s">
        <v>510</v>
      </c>
      <c r="G9" s="377">
        <v>378.5</v>
      </c>
    </row>
    <row r="10" spans="1:7" ht="15.75" thickBot="1">
      <c r="A10" s="42" t="s">
        <v>370</v>
      </c>
      <c r="B10" s="379">
        <v>202</v>
      </c>
      <c r="C10" s="374">
        <v>19386</v>
      </c>
      <c r="D10" s="375" t="s">
        <v>511</v>
      </c>
      <c r="E10" s="376" t="s">
        <v>57</v>
      </c>
      <c r="F10" s="376" t="s">
        <v>57</v>
      </c>
      <c r="G10" s="377" t="s">
        <v>57</v>
      </c>
    </row>
    <row r="11" spans="1:7" ht="30" customHeight="1" thickBot="1">
      <c r="A11" s="36"/>
      <c r="B11" s="45"/>
      <c r="C11" s="374">
        <v>19378</v>
      </c>
      <c r="D11" s="375" t="s">
        <v>512</v>
      </c>
      <c r="E11" s="376" t="s">
        <v>497</v>
      </c>
      <c r="F11" s="376" t="s">
        <v>498</v>
      </c>
      <c r="G11" s="377">
        <v>1.47</v>
      </c>
    </row>
    <row r="12" spans="1:7" ht="15.95" customHeight="1">
      <c r="A12" s="615" t="s">
        <v>371</v>
      </c>
      <c r="B12" s="616"/>
      <c r="C12" s="374">
        <v>19382</v>
      </c>
      <c r="D12" s="375" t="s">
        <v>513</v>
      </c>
      <c r="E12" s="376" t="s">
        <v>57</v>
      </c>
      <c r="F12" s="376" t="s">
        <v>57</v>
      </c>
      <c r="G12" s="377" t="s">
        <v>57</v>
      </c>
    </row>
    <row r="13" spans="1:7" ht="18.600000000000001" customHeight="1" thickBot="1">
      <c r="A13" s="617" t="s">
        <v>372</v>
      </c>
      <c r="B13" s="618"/>
      <c r="C13" s="374">
        <v>19380</v>
      </c>
      <c r="D13" s="375" t="s">
        <v>514</v>
      </c>
      <c r="E13" s="376" t="s">
        <v>57</v>
      </c>
      <c r="F13" s="376" t="s">
        <v>57</v>
      </c>
      <c r="G13" s="377" t="s">
        <v>57</v>
      </c>
    </row>
    <row r="14" spans="1:7" ht="18.600000000000001" customHeight="1">
      <c r="A14" s="39"/>
      <c r="B14" s="37" t="s">
        <v>373</v>
      </c>
      <c r="C14" s="374">
        <v>4053</v>
      </c>
      <c r="D14" s="375" t="s">
        <v>515</v>
      </c>
      <c r="E14" s="376" t="s">
        <v>497</v>
      </c>
      <c r="F14" s="376" t="s">
        <v>507</v>
      </c>
      <c r="G14" s="377">
        <v>3.65</v>
      </c>
    </row>
    <row r="15" spans="1:7" ht="18.600000000000001" customHeight="1">
      <c r="A15" s="39" t="s">
        <v>374</v>
      </c>
      <c r="B15" s="45">
        <v>285</v>
      </c>
      <c r="C15" s="374">
        <v>23889</v>
      </c>
      <c r="D15" s="375" t="s">
        <v>516</v>
      </c>
      <c r="E15" s="376" t="s">
        <v>517</v>
      </c>
      <c r="F15" s="376" t="s">
        <v>518</v>
      </c>
      <c r="G15" s="377">
        <v>6.4</v>
      </c>
    </row>
    <row r="16" spans="1:7" ht="18.600000000000001" customHeight="1" thickBot="1">
      <c r="A16" s="42" t="s">
        <v>375</v>
      </c>
      <c r="B16" s="179">
        <v>532323.48</v>
      </c>
      <c r="C16" s="374">
        <v>23469</v>
      </c>
      <c r="D16" s="375" t="s">
        <v>519</v>
      </c>
      <c r="E16" s="376" t="s">
        <v>520</v>
      </c>
      <c r="F16" s="376" t="s">
        <v>521</v>
      </c>
      <c r="G16" s="377">
        <v>149</v>
      </c>
    </row>
    <row r="17" spans="1:7" ht="18.600000000000001" customHeight="1">
      <c r="A17" s="36"/>
      <c r="B17" s="45"/>
      <c r="C17" s="374">
        <v>25015</v>
      </c>
      <c r="D17" s="375" t="s">
        <v>522</v>
      </c>
      <c r="E17" s="376" t="s">
        <v>523</v>
      </c>
      <c r="F17" s="376" t="s">
        <v>524</v>
      </c>
      <c r="G17" s="377">
        <v>41.4</v>
      </c>
    </row>
    <row r="18" spans="1:7" ht="18.600000000000001" customHeight="1">
      <c r="A18" s="36"/>
      <c r="B18" s="37"/>
      <c r="C18" s="374">
        <v>18195</v>
      </c>
      <c r="D18" s="375" t="s">
        <v>525</v>
      </c>
      <c r="E18" s="376" t="s">
        <v>526</v>
      </c>
      <c r="F18" s="376" t="s">
        <v>507</v>
      </c>
      <c r="G18" s="377">
        <v>75.59</v>
      </c>
    </row>
    <row r="19" spans="1:7" ht="18.600000000000001" customHeight="1">
      <c r="A19" s="39"/>
      <c r="B19" s="37"/>
      <c r="C19" s="374">
        <v>20730</v>
      </c>
      <c r="D19" s="375" t="s">
        <v>527</v>
      </c>
      <c r="E19" s="376" t="s">
        <v>57</v>
      </c>
      <c r="F19" s="376" t="s">
        <v>57</v>
      </c>
      <c r="G19" s="377" t="s">
        <v>57</v>
      </c>
    </row>
    <row r="20" spans="1:7" ht="15">
      <c r="A20" s="36"/>
      <c r="B20" s="37"/>
      <c r="C20" s="374">
        <v>20553</v>
      </c>
      <c r="D20" s="375" t="s">
        <v>528</v>
      </c>
      <c r="E20" s="376" t="s">
        <v>529</v>
      </c>
      <c r="F20" s="376" t="s">
        <v>507</v>
      </c>
      <c r="G20" s="377">
        <v>70.2</v>
      </c>
    </row>
    <row r="21" spans="1:7" ht="18.600000000000001" customHeight="1">
      <c r="A21" s="36"/>
      <c r="B21" s="45"/>
      <c r="C21" s="374">
        <v>7694</v>
      </c>
      <c r="D21" s="375" t="s">
        <v>530</v>
      </c>
      <c r="E21" s="376" t="s">
        <v>531</v>
      </c>
      <c r="F21" s="376" t="s">
        <v>507</v>
      </c>
      <c r="G21" s="377">
        <v>64.17</v>
      </c>
    </row>
    <row r="22" spans="1:7" ht="18.600000000000001" customHeight="1">
      <c r="A22" s="36"/>
      <c r="B22" s="45"/>
      <c r="C22" s="374">
        <v>4375</v>
      </c>
      <c r="D22" s="375" t="s">
        <v>532</v>
      </c>
      <c r="E22" s="376" t="s">
        <v>497</v>
      </c>
      <c r="F22" s="376" t="s">
        <v>533</v>
      </c>
      <c r="G22" s="377">
        <v>0.46</v>
      </c>
    </row>
    <row r="23" spans="1:7" ht="18.600000000000001" customHeight="1">
      <c r="A23" s="36"/>
      <c r="B23" s="37"/>
      <c r="C23" s="374">
        <v>4742</v>
      </c>
      <c r="D23" s="375" t="s">
        <v>534</v>
      </c>
      <c r="E23" s="376" t="s">
        <v>535</v>
      </c>
      <c r="F23" s="376" t="s">
        <v>536</v>
      </c>
      <c r="G23" s="377">
        <v>6.25</v>
      </c>
    </row>
    <row r="24" spans="1:7" ht="28.5" customHeight="1">
      <c r="A24" s="36"/>
      <c r="B24" s="37"/>
      <c r="C24" s="374">
        <v>6804</v>
      </c>
      <c r="D24" s="375" t="s">
        <v>537</v>
      </c>
      <c r="E24" s="376" t="s">
        <v>538</v>
      </c>
      <c r="F24" s="376" t="s">
        <v>539</v>
      </c>
      <c r="G24" s="377">
        <v>2.8</v>
      </c>
    </row>
    <row r="25" spans="1:7" ht="18.600000000000001" customHeight="1">
      <c r="A25" s="619"/>
      <c r="B25" s="619"/>
      <c r="C25" s="374">
        <v>19791</v>
      </c>
      <c r="D25" s="375" t="s">
        <v>540</v>
      </c>
      <c r="E25" s="376" t="s">
        <v>541</v>
      </c>
      <c r="F25" s="376" t="s">
        <v>542</v>
      </c>
      <c r="G25" s="377">
        <v>38.9</v>
      </c>
    </row>
    <row r="26" spans="1:7" ht="18.600000000000001" customHeight="1">
      <c r="A26" s="36"/>
      <c r="B26" s="37"/>
      <c r="C26" s="374">
        <v>19399</v>
      </c>
      <c r="D26" s="375" t="s">
        <v>543</v>
      </c>
      <c r="E26" s="376" t="s">
        <v>544</v>
      </c>
      <c r="F26" s="376" t="s">
        <v>545</v>
      </c>
      <c r="G26" s="377">
        <v>91.26</v>
      </c>
    </row>
    <row r="27" spans="1:7" ht="27.75" customHeight="1">
      <c r="A27" s="36"/>
      <c r="B27" s="45"/>
      <c r="C27" s="374">
        <v>19402</v>
      </c>
      <c r="D27" s="375" t="s">
        <v>546</v>
      </c>
      <c r="E27" s="376" t="s">
        <v>547</v>
      </c>
      <c r="F27" s="376" t="s">
        <v>548</v>
      </c>
      <c r="G27" s="377">
        <v>69.900000000000006</v>
      </c>
    </row>
    <row r="28" spans="1:7" ht="18.600000000000001" customHeight="1">
      <c r="A28" s="36"/>
      <c r="B28" s="45"/>
      <c r="C28" s="374">
        <v>4744</v>
      </c>
      <c r="D28" s="375" t="s">
        <v>549</v>
      </c>
      <c r="E28" s="376" t="s">
        <v>550</v>
      </c>
      <c r="F28" s="376" t="s">
        <v>539</v>
      </c>
      <c r="G28" s="377">
        <v>5.55</v>
      </c>
    </row>
    <row r="29" spans="1:7" ht="18.600000000000001" customHeight="1">
      <c r="A29" s="36"/>
      <c r="B29" s="37"/>
      <c r="C29" s="374">
        <v>19407</v>
      </c>
      <c r="D29" s="375" t="s">
        <v>551</v>
      </c>
      <c r="E29" s="376" t="s">
        <v>497</v>
      </c>
      <c r="F29" s="376" t="s">
        <v>542</v>
      </c>
      <c r="G29" s="377">
        <v>38</v>
      </c>
    </row>
    <row r="30" spans="1:7" ht="16.5" customHeight="1">
      <c r="A30" s="619"/>
      <c r="B30" s="619"/>
      <c r="C30" s="374">
        <v>19385</v>
      </c>
      <c r="D30" s="375" t="s">
        <v>552</v>
      </c>
      <c r="E30" s="376" t="s">
        <v>57</v>
      </c>
      <c r="F30" s="376" t="s">
        <v>57</v>
      </c>
      <c r="G30" s="377" t="s">
        <v>57</v>
      </c>
    </row>
    <row r="31" spans="1:7" ht="17.100000000000001" customHeight="1">
      <c r="A31" s="36"/>
      <c r="B31" s="37"/>
      <c r="C31" s="374">
        <v>22317</v>
      </c>
      <c r="D31" s="375" t="s">
        <v>553</v>
      </c>
      <c r="E31" s="376" t="s">
        <v>554</v>
      </c>
      <c r="F31" s="376" t="s">
        <v>555</v>
      </c>
      <c r="G31" s="377">
        <v>510.83</v>
      </c>
    </row>
    <row r="32" spans="1:7" ht="17.100000000000001" customHeight="1">
      <c r="A32" s="36"/>
      <c r="B32" s="45"/>
      <c r="C32" s="374">
        <v>16211</v>
      </c>
      <c r="D32" s="375" t="s">
        <v>556</v>
      </c>
      <c r="E32" s="376" t="s">
        <v>497</v>
      </c>
      <c r="F32" s="376" t="s">
        <v>557</v>
      </c>
      <c r="G32" s="377">
        <v>12.204000000000001</v>
      </c>
    </row>
    <row r="33" spans="1:7" ht="17.100000000000001" customHeight="1">
      <c r="A33" s="380"/>
      <c r="B33" s="380"/>
      <c r="C33" s="374">
        <v>4317</v>
      </c>
      <c r="D33" s="375" t="s">
        <v>558</v>
      </c>
      <c r="E33" s="376" t="s">
        <v>497</v>
      </c>
      <c r="F33" s="376" t="s">
        <v>559</v>
      </c>
      <c r="G33" s="377">
        <v>8.99</v>
      </c>
    </row>
    <row r="34" spans="1:7" ht="17.100000000000001" customHeight="1">
      <c r="A34" s="381"/>
      <c r="B34" s="381"/>
      <c r="C34" s="374">
        <v>4090</v>
      </c>
      <c r="D34" s="375" t="s">
        <v>560</v>
      </c>
      <c r="E34" s="376" t="s">
        <v>497</v>
      </c>
      <c r="F34" s="377" t="s">
        <v>539</v>
      </c>
      <c r="G34" s="377">
        <v>2.93</v>
      </c>
    </row>
    <row r="35" spans="1:7" ht="17.100000000000001" customHeight="1">
      <c r="A35" s="381"/>
      <c r="B35" s="381"/>
      <c r="C35" s="374">
        <v>9706</v>
      </c>
      <c r="D35" s="375" t="s">
        <v>561</v>
      </c>
      <c r="E35" s="376" t="s">
        <v>562</v>
      </c>
      <c r="F35" s="376" t="s">
        <v>498</v>
      </c>
      <c r="G35" s="377">
        <v>68</v>
      </c>
    </row>
    <row r="36" spans="1:7" ht="17.100000000000001" customHeight="1">
      <c r="A36" s="381"/>
      <c r="B36" s="381"/>
      <c r="C36" s="374">
        <v>23887</v>
      </c>
      <c r="D36" s="375" t="s">
        <v>563</v>
      </c>
      <c r="E36" s="376" t="s">
        <v>497</v>
      </c>
      <c r="F36" s="376" t="s">
        <v>559</v>
      </c>
      <c r="G36" s="377">
        <v>6.05</v>
      </c>
    </row>
    <row r="37" spans="1:7" ht="15">
      <c r="A37" s="381"/>
      <c r="B37" s="381"/>
      <c r="C37" s="374">
        <v>19446</v>
      </c>
      <c r="D37" s="375" t="s">
        <v>564</v>
      </c>
      <c r="E37" s="376" t="s">
        <v>497</v>
      </c>
      <c r="F37" s="376" t="s">
        <v>559</v>
      </c>
      <c r="G37" s="377">
        <v>64.84</v>
      </c>
    </row>
    <row r="38" spans="1:7" ht="15">
      <c r="A38" s="381"/>
      <c r="B38" s="381"/>
      <c r="C38" s="374">
        <v>19416</v>
      </c>
      <c r="D38" s="375" t="s">
        <v>565</v>
      </c>
      <c r="E38" s="376" t="s">
        <v>566</v>
      </c>
      <c r="F38" s="376" t="s">
        <v>567</v>
      </c>
      <c r="G38" s="377">
        <v>83.58</v>
      </c>
    </row>
    <row r="39" spans="1:7" ht="15">
      <c r="A39" s="381"/>
      <c r="B39" s="381"/>
      <c r="C39" s="374">
        <v>6512</v>
      </c>
      <c r="D39" s="375" t="s">
        <v>568</v>
      </c>
      <c r="E39" s="376" t="s">
        <v>497</v>
      </c>
      <c r="F39" s="376" t="s">
        <v>569</v>
      </c>
      <c r="G39" s="377">
        <v>11.2</v>
      </c>
    </row>
    <row r="40" spans="1:7" ht="15">
      <c r="A40" s="381"/>
      <c r="B40" s="381"/>
      <c r="C40" s="374">
        <v>15865</v>
      </c>
      <c r="D40" s="375" t="s">
        <v>570</v>
      </c>
      <c r="E40" s="376" t="s">
        <v>497</v>
      </c>
      <c r="F40" s="376" t="s">
        <v>559</v>
      </c>
      <c r="G40" s="377">
        <v>12.39</v>
      </c>
    </row>
    <row r="41" spans="1:7" ht="15">
      <c r="A41" s="381"/>
      <c r="B41" s="381"/>
      <c r="C41" s="374">
        <v>4172</v>
      </c>
      <c r="D41" s="375" t="s">
        <v>571</v>
      </c>
      <c r="E41" s="376" t="s">
        <v>572</v>
      </c>
      <c r="F41" s="376" t="s">
        <v>548</v>
      </c>
      <c r="G41" s="377">
        <v>6</v>
      </c>
    </row>
    <row r="42" spans="1:7" ht="15">
      <c r="A42" s="381"/>
      <c r="B42" s="381"/>
      <c r="C42" s="374">
        <v>4173</v>
      </c>
      <c r="D42" s="375" t="s">
        <v>573</v>
      </c>
      <c r="E42" s="376" t="s">
        <v>57</v>
      </c>
      <c r="F42" s="376" t="s">
        <v>57</v>
      </c>
      <c r="G42" s="377" t="s">
        <v>57</v>
      </c>
    </row>
    <row r="43" spans="1:7" ht="15">
      <c r="A43" s="381"/>
      <c r="B43" s="381"/>
      <c r="C43" s="374">
        <v>4843</v>
      </c>
      <c r="D43" s="375" t="s">
        <v>574</v>
      </c>
      <c r="E43" s="376" t="s">
        <v>497</v>
      </c>
      <c r="F43" s="376" t="s">
        <v>542</v>
      </c>
      <c r="G43" s="377">
        <v>6.28</v>
      </c>
    </row>
    <row r="44" spans="1:7" ht="15">
      <c r="A44" s="381"/>
      <c r="B44" s="381"/>
      <c r="C44" s="374">
        <v>4840</v>
      </c>
      <c r="D44" s="375" t="s">
        <v>575</v>
      </c>
      <c r="E44" s="376" t="s">
        <v>497</v>
      </c>
      <c r="F44" s="376" t="s">
        <v>507</v>
      </c>
      <c r="G44" s="377">
        <v>2.37</v>
      </c>
    </row>
    <row r="45" spans="1:7" ht="15">
      <c r="A45" s="381"/>
      <c r="B45" s="381"/>
      <c r="C45" s="374">
        <v>4841</v>
      </c>
      <c r="D45" s="375" t="s">
        <v>576</v>
      </c>
      <c r="E45" s="376" t="s">
        <v>497</v>
      </c>
      <c r="F45" s="376" t="s">
        <v>507</v>
      </c>
      <c r="G45" s="377">
        <v>3</v>
      </c>
    </row>
    <row r="46" spans="1:7" ht="15">
      <c r="A46" s="381"/>
      <c r="B46" s="381"/>
      <c r="C46" s="374">
        <v>4842</v>
      </c>
      <c r="D46" s="375" t="s">
        <v>577</v>
      </c>
      <c r="E46" s="376" t="s">
        <v>497</v>
      </c>
      <c r="F46" s="376" t="s">
        <v>578</v>
      </c>
      <c r="G46" s="377">
        <v>3.1</v>
      </c>
    </row>
    <row r="47" spans="1:7" ht="15">
      <c r="A47" s="381"/>
      <c r="B47" s="381"/>
      <c r="C47" s="374">
        <v>23912</v>
      </c>
      <c r="D47" s="375" t="s">
        <v>579</v>
      </c>
      <c r="E47" s="376" t="s">
        <v>497</v>
      </c>
      <c r="F47" s="376" t="s">
        <v>580</v>
      </c>
      <c r="G47" s="377">
        <v>413.05</v>
      </c>
    </row>
    <row r="48" spans="1:7" ht="15">
      <c r="A48" s="381"/>
      <c r="B48" s="381"/>
      <c r="C48" s="374">
        <v>4087</v>
      </c>
      <c r="D48" s="375" t="s">
        <v>581</v>
      </c>
      <c r="E48" s="376" t="s">
        <v>497</v>
      </c>
      <c r="F48" s="376" t="s">
        <v>559</v>
      </c>
      <c r="G48" s="377">
        <v>4.78</v>
      </c>
    </row>
  </sheetData>
  <sheetProtection selectLockedCells="1"/>
  <mergeCells count="8">
    <mergeCell ref="A12:B12"/>
    <mergeCell ref="A13:B13"/>
    <mergeCell ref="A25:B25"/>
    <mergeCell ref="A30:B30"/>
    <mergeCell ref="A1:G1"/>
    <mergeCell ref="A2:B2"/>
    <mergeCell ref="D2:G2"/>
    <mergeCell ref="A7:B7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5"/>
  <sheetViews>
    <sheetView showGridLines="0" view="pageBreakPreview" zoomScale="80" zoomScaleNormal="90" zoomScalePageLayoutView="70" workbookViewId="0">
      <selection activeCell="B3" sqref="B3:D3"/>
    </sheetView>
  </sheetViews>
  <sheetFormatPr defaultColWidth="0.85546875" defaultRowHeight="22.5" customHeight="1"/>
  <cols>
    <col min="1" max="1" width="57.140625" style="36" customWidth="1"/>
    <col min="2" max="2" width="27" style="37" customWidth="1"/>
    <col min="3" max="3" width="8" style="38" customWidth="1"/>
    <col min="4" max="4" width="76.140625" style="38" customWidth="1"/>
    <col min="5" max="5" width="19.42578125" style="38" customWidth="1"/>
    <col min="6" max="6" width="17.5703125" style="38" customWidth="1"/>
    <col min="7" max="8" width="15" style="38" customWidth="1"/>
    <col min="9" max="16384" width="0.85546875" style="38"/>
  </cols>
  <sheetData>
    <row r="1" spans="1:6" ht="22.5" customHeight="1">
      <c r="A1" s="628" t="s">
        <v>376</v>
      </c>
      <c r="B1" s="629"/>
      <c r="C1" s="629"/>
      <c r="D1" s="629"/>
      <c r="E1" s="629"/>
      <c r="F1" s="630"/>
    </row>
    <row r="2" spans="1:6" ht="22.5" customHeight="1">
      <c r="A2" s="383"/>
      <c r="B2" s="384"/>
      <c r="C2" s="385"/>
      <c r="D2" s="385"/>
      <c r="E2" s="385"/>
      <c r="F2" s="386"/>
    </row>
    <row r="3" spans="1:6" ht="22.5" customHeight="1">
      <c r="A3" s="387" t="s">
        <v>6</v>
      </c>
      <c r="B3" s="631"/>
      <c r="C3" s="632"/>
      <c r="D3" s="632"/>
      <c r="E3" s="388"/>
      <c r="F3" s="386"/>
    </row>
    <row r="4" spans="1:6" ht="22.5" customHeight="1">
      <c r="A4" s="387" t="s">
        <v>7</v>
      </c>
      <c r="B4" s="389">
        <v>46113</v>
      </c>
      <c r="C4" s="390"/>
      <c r="D4" s="391"/>
      <c r="E4" s="391"/>
      <c r="F4" s="386"/>
    </row>
    <row r="5" spans="1:6" ht="22.5" customHeight="1" thickBot="1">
      <c r="A5" s="39"/>
      <c r="C5" s="385"/>
      <c r="D5" s="385"/>
      <c r="E5" s="385"/>
      <c r="F5" s="386"/>
    </row>
    <row r="6" spans="1:6" ht="22.5" customHeight="1" thickBot="1">
      <c r="A6" s="623" t="s">
        <v>377</v>
      </c>
      <c r="B6" s="624"/>
      <c r="C6" s="385"/>
      <c r="D6" s="633" t="s">
        <v>378</v>
      </c>
      <c r="E6" s="633"/>
      <c r="F6" s="633"/>
    </row>
    <row r="7" spans="1:6" ht="22.5" customHeight="1">
      <c r="A7" s="39"/>
      <c r="B7" s="40" t="s">
        <v>360</v>
      </c>
      <c r="C7" s="385"/>
      <c r="D7" s="392" t="s">
        <v>379</v>
      </c>
      <c r="E7" s="369" t="s">
        <v>380</v>
      </c>
      <c r="F7" s="369" t="s">
        <v>364</v>
      </c>
    </row>
    <row r="8" spans="1:6" ht="22.5" customHeight="1">
      <c r="A8" s="39" t="s">
        <v>381</v>
      </c>
      <c r="B8" s="373">
        <v>38</v>
      </c>
      <c r="C8" s="374">
        <v>19441</v>
      </c>
      <c r="D8" s="375" t="s">
        <v>582</v>
      </c>
      <c r="E8" s="393" t="s">
        <v>578</v>
      </c>
      <c r="F8" s="394">
        <v>43.2</v>
      </c>
    </row>
    <row r="9" spans="1:6" ht="22.5" customHeight="1" thickBot="1">
      <c r="A9" s="42" t="s">
        <v>382</v>
      </c>
      <c r="B9" s="378">
        <v>214466.54</v>
      </c>
      <c r="C9" s="374">
        <v>19442</v>
      </c>
      <c r="D9" s="375" t="s">
        <v>583</v>
      </c>
      <c r="E9" s="393" t="s">
        <v>584</v>
      </c>
      <c r="F9" s="394">
        <v>17</v>
      </c>
    </row>
    <row r="10" spans="1:6" ht="22.5" customHeight="1" thickBot="1">
      <c r="A10" s="39"/>
      <c r="C10" s="374">
        <v>9528</v>
      </c>
      <c r="D10" s="375" t="s">
        <v>585</v>
      </c>
      <c r="E10" s="393" t="s">
        <v>578</v>
      </c>
      <c r="F10" s="394">
        <v>93.72</v>
      </c>
    </row>
    <row r="11" spans="1:6" ht="36" customHeight="1">
      <c r="A11" s="615" t="s">
        <v>383</v>
      </c>
      <c r="B11" s="616"/>
      <c r="C11" s="374">
        <v>16424</v>
      </c>
      <c r="D11" s="375" t="s">
        <v>586</v>
      </c>
      <c r="E11" s="393" t="s">
        <v>587</v>
      </c>
      <c r="F11" s="394">
        <v>21.53</v>
      </c>
    </row>
    <row r="12" spans="1:6" ht="22.5" customHeight="1" thickBot="1">
      <c r="A12" s="617" t="s">
        <v>384</v>
      </c>
      <c r="B12" s="618"/>
      <c r="C12" s="374">
        <v>19443</v>
      </c>
      <c r="D12" s="375" t="s">
        <v>588</v>
      </c>
      <c r="E12" s="393" t="s">
        <v>589</v>
      </c>
      <c r="F12" s="394">
        <v>115</v>
      </c>
    </row>
    <row r="13" spans="1:6" ht="22.5" customHeight="1">
      <c r="A13" s="39"/>
      <c r="B13" s="37" t="s">
        <v>385</v>
      </c>
      <c r="C13" s="374">
        <v>16428</v>
      </c>
      <c r="D13" s="375" t="s">
        <v>590</v>
      </c>
      <c r="E13" s="393" t="s">
        <v>591</v>
      </c>
      <c r="F13" s="394">
        <v>152.49</v>
      </c>
    </row>
    <row r="14" spans="1:6" ht="22.5" customHeight="1">
      <c r="A14" s="39" t="s">
        <v>386</v>
      </c>
      <c r="B14" s="45">
        <v>126</v>
      </c>
      <c r="C14" s="374">
        <v>10759</v>
      </c>
      <c r="D14" s="375" t="s">
        <v>592</v>
      </c>
      <c r="E14" s="393" t="s">
        <v>57</v>
      </c>
      <c r="F14" s="394" t="s">
        <v>57</v>
      </c>
    </row>
    <row r="15" spans="1:6" ht="22.5" customHeight="1" thickBot="1">
      <c r="A15" s="42" t="s">
        <v>387</v>
      </c>
      <c r="B15" s="179">
        <v>235693.77</v>
      </c>
      <c r="C15" s="374">
        <v>16892</v>
      </c>
      <c r="D15" s="375" t="s">
        <v>593</v>
      </c>
      <c r="E15" s="393" t="s">
        <v>57</v>
      </c>
      <c r="F15" s="394"/>
    </row>
    <row r="16" spans="1:6" ht="32.25" customHeight="1" thickBot="1">
      <c r="A16" s="39"/>
      <c r="C16" s="374">
        <v>5028</v>
      </c>
      <c r="D16" s="375" t="s">
        <v>594</v>
      </c>
      <c r="E16" s="393" t="s">
        <v>595</v>
      </c>
      <c r="F16" s="395">
        <v>2.21</v>
      </c>
    </row>
    <row r="17" spans="1:6" ht="22.5" customHeight="1">
      <c r="A17" s="615" t="s">
        <v>388</v>
      </c>
      <c r="B17" s="616"/>
      <c r="C17" s="374">
        <v>5030</v>
      </c>
      <c r="D17" s="375" t="s">
        <v>596</v>
      </c>
      <c r="E17" s="393" t="s">
        <v>595</v>
      </c>
      <c r="F17" s="395">
        <v>2.21</v>
      </c>
    </row>
    <row r="18" spans="1:6" ht="22.5" customHeight="1" thickBot="1">
      <c r="A18" s="617" t="s">
        <v>384</v>
      </c>
      <c r="B18" s="618"/>
      <c r="C18" s="374">
        <v>20757</v>
      </c>
      <c r="D18" s="375" t="s">
        <v>597</v>
      </c>
      <c r="E18" s="396" t="s">
        <v>57</v>
      </c>
      <c r="F18" s="395" t="s">
        <v>57</v>
      </c>
    </row>
    <row r="19" spans="1:6" ht="22.5" customHeight="1">
      <c r="A19" s="39"/>
      <c r="B19" s="37" t="s">
        <v>389</v>
      </c>
      <c r="C19" s="374">
        <v>4966</v>
      </c>
      <c r="D19" s="375" t="s">
        <v>598</v>
      </c>
      <c r="E19" s="393" t="s">
        <v>599</v>
      </c>
      <c r="F19" s="394">
        <v>0.38</v>
      </c>
    </row>
    <row r="20" spans="1:6" ht="22.5" customHeight="1">
      <c r="A20" s="39" t="s">
        <v>390</v>
      </c>
      <c r="B20" s="45">
        <v>1</v>
      </c>
      <c r="C20" s="374">
        <v>21999</v>
      </c>
      <c r="D20" s="375" t="s">
        <v>600</v>
      </c>
      <c r="E20" s="393" t="s">
        <v>589</v>
      </c>
      <c r="F20" s="395">
        <v>17.600000000000001</v>
      </c>
    </row>
    <row r="21" spans="1:6" ht="22.5" customHeight="1" thickBot="1">
      <c r="A21" s="42" t="s">
        <v>391</v>
      </c>
      <c r="B21" s="179">
        <v>186</v>
      </c>
      <c r="C21" s="374">
        <v>21998</v>
      </c>
      <c r="D21" s="375" t="s">
        <v>601</v>
      </c>
      <c r="E21" s="393" t="s">
        <v>589</v>
      </c>
      <c r="F21" s="395">
        <v>22</v>
      </c>
    </row>
    <row r="22" spans="1:6" ht="22.5" customHeight="1">
      <c r="C22" s="374">
        <v>21997</v>
      </c>
      <c r="D22" s="375" t="s">
        <v>602</v>
      </c>
      <c r="E22" s="393" t="s">
        <v>589</v>
      </c>
      <c r="F22" s="395">
        <v>21</v>
      </c>
    </row>
    <row r="23" spans="1:6" ht="22.5" customHeight="1">
      <c r="B23" s="45"/>
      <c r="C23" s="374">
        <v>5170</v>
      </c>
      <c r="D23" s="375" t="s">
        <v>603</v>
      </c>
      <c r="E23" s="393" t="s">
        <v>604</v>
      </c>
      <c r="F23" s="394">
        <v>0.59</v>
      </c>
    </row>
    <row r="24" spans="1:6" ht="22.5" customHeight="1">
      <c r="C24" s="374">
        <v>23473</v>
      </c>
      <c r="D24" s="375" t="s">
        <v>605</v>
      </c>
      <c r="E24" s="393" t="s">
        <v>606</v>
      </c>
      <c r="F24" s="394">
        <v>11.09</v>
      </c>
    </row>
    <row r="25" spans="1:6" ht="22.5" customHeight="1">
      <c r="A25" s="397"/>
      <c r="B25" s="384"/>
      <c r="C25" s="374">
        <v>4810</v>
      </c>
      <c r="D25" s="375" t="s">
        <v>607</v>
      </c>
      <c r="E25" s="393" t="s">
        <v>608</v>
      </c>
      <c r="F25" s="395">
        <v>12.88</v>
      </c>
    </row>
    <row r="26" spans="1:6" ht="22.5" customHeight="1">
      <c r="A26" s="39"/>
      <c r="C26" s="374">
        <v>4796</v>
      </c>
      <c r="D26" s="375" t="s">
        <v>609</v>
      </c>
      <c r="E26" s="393" t="s">
        <v>57</v>
      </c>
      <c r="F26" s="394" t="s">
        <v>57</v>
      </c>
    </row>
    <row r="27" spans="1:6" ht="22.5" customHeight="1">
      <c r="A27" s="39"/>
      <c r="C27" s="374">
        <v>4975</v>
      </c>
      <c r="D27" s="375" t="s">
        <v>610</v>
      </c>
      <c r="E27" s="393" t="s">
        <v>591</v>
      </c>
      <c r="F27" s="394">
        <v>4.7</v>
      </c>
    </row>
    <row r="28" spans="1:6" ht="22.5" customHeight="1">
      <c r="A28" s="39"/>
      <c r="C28" s="374">
        <v>14543</v>
      </c>
      <c r="D28" s="375" t="s">
        <v>611</v>
      </c>
      <c r="E28" s="393" t="s">
        <v>57</v>
      </c>
      <c r="F28" s="395" t="s">
        <v>57</v>
      </c>
    </row>
    <row r="29" spans="1:6" ht="22.5" customHeight="1">
      <c r="C29" s="374">
        <v>4865</v>
      </c>
      <c r="D29" s="375" t="s">
        <v>612</v>
      </c>
      <c r="E29" s="393" t="s">
        <v>591</v>
      </c>
      <c r="F29" s="395">
        <v>2.02</v>
      </c>
    </row>
    <row r="30" spans="1:6" ht="22.5" customHeight="1">
      <c r="C30" s="374">
        <v>4867</v>
      </c>
      <c r="D30" s="375" t="s">
        <v>613</v>
      </c>
      <c r="E30" s="393" t="s">
        <v>591</v>
      </c>
      <c r="F30" s="395">
        <v>0.97</v>
      </c>
    </row>
    <row r="31" spans="1:6" ht="22.5" customHeight="1">
      <c r="C31" s="374">
        <v>23471</v>
      </c>
      <c r="D31" s="375" t="s">
        <v>614</v>
      </c>
      <c r="E31" s="393" t="s">
        <v>606</v>
      </c>
      <c r="F31" s="395">
        <v>129</v>
      </c>
    </row>
    <row r="32" spans="1:6" ht="22.5" customHeight="1">
      <c r="C32" s="374">
        <v>15805</v>
      </c>
      <c r="D32" s="375" t="s">
        <v>615</v>
      </c>
      <c r="E32" s="393" t="s">
        <v>604</v>
      </c>
      <c r="F32" s="394">
        <v>12.7</v>
      </c>
    </row>
    <row r="33" spans="3:6" ht="22.5" customHeight="1">
      <c r="C33" s="374">
        <v>11304</v>
      </c>
      <c r="D33" s="375" t="s">
        <v>616</v>
      </c>
      <c r="E33" s="393" t="s">
        <v>604</v>
      </c>
      <c r="F33" s="394">
        <v>19.7</v>
      </c>
    </row>
    <row r="34" spans="3:6" ht="22.5" customHeight="1">
      <c r="C34" s="374">
        <v>4905</v>
      </c>
      <c r="D34" s="375" t="s">
        <v>617</v>
      </c>
      <c r="E34" s="393" t="s">
        <v>604</v>
      </c>
      <c r="F34" s="395">
        <v>16.989999999999998</v>
      </c>
    </row>
    <row r="35" spans="3:6" ht="22.5" customHeight="1">
      <c r="C35" s="374">
        <v>4878</v>
      </c>
      <c r="D35" s="375" t="s">
        <v>618</v>
      </c>
      <c r="E35" s="393" t="s">
        <v>619</v>
      </c>
      <c r="F35" s="394">
        <v>0.25</v>
      </c>
    </row>
    <row r="36" spans="3:6" ht="22.5" customHeight="1">
      <c r="C36" s="374">
        <v>4880</v>
      </c>
      <c r="D36" s="375" t="s">
        <v>620</v>
      </c>
      <c r="E36" s="393" t="s">
        <v>621</v>
      </c>
      <c r="F36" s="395">
        <v>0.35</v>
      </c>
    </row>
    <row r="37" spans="3:6" ht="22.5" customHeight="1">
      <c r="C37" s="374">
        <v>4883</v>
      </c>
      <c r="D37" s="375" t="s">
        <v>622</v>
      </c>
      <c r="E37" s="393" t="s">
        <v>623</v>
      </c>
      <c r="F37" s="395">
        <v>9.6</v>
      </c>
    </row>
    <row r="38" spans="3:6" ht="22.5" customHeight="1">
      <c r="C38" s="374">
        <v>5195</v>
      </c>
      <c r="D38" s="375" t="s">
        <v>624</v>
      </c>
      <c r="E38" s="393" t="s">
        <v>625</v>
      </c>
      <c r="F38" s="394">
        <v>0.48</v>
      </c>
    </row>
    <row r="39" spans="3:6" ht="22.5" customHeight="1">
      <c r="D39" s="41"/>
      <c r="E39" s="46"/>
      <c r="F39" s="47"/>
    </row>
    <row r="40" spans="3:6" ht="22.5" customHeight="1">
      <c r="D40" s="43"/>
      <c r="E40" s="46"/>
      <c r="F40" s="47"/>
    </row>
    <row r="41" spans="3:6" ht="22.5" customHeight="1">
      <c r="D41" s="43"/>
      <c r="E41" s="46"/>
      <c r="F41" s="47"/>
    </row>
    <row r="42" spans="3:6" ht="22.5" customHeight="1">
      <c r="D42" s="41"/>
      <c r="E42" s="46"/>
      <c r="F42" s="47"/>
    </row>
    <row r="43" spans="3:6" ht="22.5" customHeight="1">
      <c r="D43" s="41"/>
      <c r="E43" s="46"/>
      <c r="F43" s="47"/>
    </row>
    <row r="44" spans="3:6" ht="22.5" customHeight="1">
      <c r="D44" s="41"/>
      <c r="E44" s="46"/>
      <c r="F44" s="47"/>
    </row>
    <row r="45" spans="3:6" ht="22.5" customHeight="1">
      <c r="D45" s="48"/>
      <c r="E45" s="49"/>
      <c r="F45" s="50"/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29"/>
  <sheetViews>
    <sheetView showGridLines="0" zoomScaleNormal="100" zoomScaleSheetLayoutView="70" zoomScalePageLayoutView="80" workbookViewId="0">
      <selection sqref="A1:B129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>
      <c r="A1" s="634" t="s">
        <v>392</v>
      </c>
      <c r="B1" s="635"/>
    </row>
    <row r="2" spans="1:2" ht="21.75" customHeight="1">
      <c r="A2" s="2"/>
      <c r="B2"/>
    </row>
    <row r="3" spans="1:2" ht="21.75" customHeight="1">
      <c r="A3" s="636" t="s">
        <v>393</v>
      </c>
      <c r="B3" s="636"/>
    </row>
    <row r="4" spans="1:2" ht="21.75" customHeight="1">
      <c r="A4" s="637" t="str">
        <f>Assistencial!B3</f>
        <v>HOSPITAL REGIONAL TEREZINHA GAIO BASSO</v>
      </c>
      <c r="B4" s="638"/>
    </row>
    <row r="5" spans="1:2" ht="21.75" customHeight="1">
      <c r="A5"/>
      <c r="B5"/>
    </row>
    <row r="6" spans="1:2" ht="21.75" customHeight="1">
      <c r="A6" s="639" t="s">
        <v>7</v>
      </c>
      <c r="B6" s="639"/>
    </row>
    <row r="7" spans="1:2" ht="21.75" customHeight="1">
      <c r="A7" s="640">
        <f>Assistencial!B4</f>
        <v>46113</v>
      </c>
      <c r="B7" s="640"/>
    </row>
    <row r="8" spans="1:2" ht="21.75" customHeight="1">
      <c r="B8" s="3"/>
    </row>
    <row r="9" spans="1:2" ht="21.75" customHeight="1">
      <c r="A9" s="4" t="s">
        <v>394</v>
      </c>
      <c r="B9" s="5">
        <f>A7</f>
        <v>46113</v>
      </c>
    </row>
    <row r="10" spans="1:2" ht="21.75" customHeight="1">
      <c r="A10" s="6" t="s">
        <v>395</v>
      </c>
      <c r="B10" s="7" t="s">
        <v>396</v>
      </c>
    </row>
    <row r="11" spans="1:2" ht="21.75" customHeight="1">
      <c r="A11" s="8" t="s">
        <v>397</v>
      </c>
      <c r="B11" s="9">
        <v>5561423.96</v>
      </c>
    </row>
    <row r="12" spans="1:2" ht="21.75" customHeight="1">
      <c r="A12" s="8" t="s">
        <v>398</v>
      </c>
      <c r="B12" s="9">
        <v>0</v>
      </c>
    </row>
    <row r="13" spans="1:2" ht="21.75" customHeight="1">
      <c r="A13" s="8" t="s">
        <v>399</v>
      </c>
      <c r="B13" s="9">
        <v>0</v>
      </c>
    </row>
    <row r="14" spans="1:2" ht="21.75" customHeight="1">
      <c r="A14" s="8" t="s">
        <v>400</v>
      </c>
      <c r="B14" s="9">
        <v>0</v>
      </c>
    </row>
    <row r="15" spans="1:2" ht="21.75" customHeight="1">
      <c r="A15" s="8" t="s">
        <v>401</v>
      </c>
      <c r="B15" s="9">
        <v>101647.81</v>
      </c>
    </row>
    <row r="16" spans="1:2" ht="21.75" customHeight="1">
      <c r="A16" s="10" t="s">
        <v>402</v>
      </c>
      <c r="B16" s="11">
        <f>B11+B12+B13-B14-B15</f>
        <v>5459776.1500000004</v>
      </c>
    </row>
    <row r="17" spans="1:2" ht="21.75" customHeight="1">
      <c r="A17" s="12" t="s">
        <v>403</v>
      </c>
      <c r="B17" s="9">
        <v>166227.57999999999</v>
      </c>
    </row>
    <row r="18" spans="1:2" ht="21.75" customHeight="1">
      <c r="A18" s="12" t="s">
        <v>404</v>
      </c>
      <c r="B18" s="9">
        <v>0</v>
      </c>
    </row>
    <row r="19" spans="1:2" ht="21.75" customHeight="1">
      <c r="A19" s="12" t="s">
        <v>405</v>
      </c>
      <c r="B19" s="9">
        <v>0</v>
      </c>
    </row>
    <row r="20" spans="1:2" ht="21.75" customHeight="1">
      <c r="A20" s="12" t="s">
        <v>406</v>
      </c>
      <c r="B20" s="9">
        <v>0</v>
      </c>
    </row>
    <row r="21" spans="1:2" ht="21.75" customHeight="1">
      <c r="A21" s="12" t="s">
        <v>407</v>
      </c>
      <c r="B21" s="9">
        <f>111781.54+27534+19877.16+3000+100849.81</f>
        <v>263042.51</v>
      </c>
    </row>
    <row r="22" spans="1:2" ht="21.75" customHeight="1">
      <c r="A22" s="12" t="s">
        <v>408</v>
      </c>
      <c r="B22" s="9">
        <v>3.44</v>
      </c>
    </row>
    <row r="23" spans="1:2" ht="21.75" customHeight="1">
      <c r="A23" s="10" t="s">
        <v>409</v>
      </c>
      <c r="B23" s="11">
        <f>SUM(B17:B22)</f>
        <v>429273.52999999997</v>
      </c>
    </row>
    <row r="24" spans="1:2" ht="21.75" customHeight="1">
      <c r="A24" s="13" t="s">
        <v>410</v>
      </c>
      <c r="B24" s="14">
        <f>B23+B16</f>
        <v>5889049.6800000006</v>
      </c>
    </row>
    <row r="25" spans="1:2" ht="21.75" customHeight="1">
      <c r="A25" s="15"/>
      <c r="B25" s="16"/>
    </row>
    <row r="26" spans="1:2" ht="21.75" customHeight="1">
      <c r="A26" s="4" t="str">
        <f>A9</f>
        <v>DESCRIÇÃO</v>
      </c>
      <c r="B26" s="5">
        <f>B9</f>
        <v>46113</v>
      </c>
    </row>
    <row r="27" spans="1:2" ht="21.75" customHeight="1">
      <c r="A27" s="6" t="s">
        <v>411</v>
      </c>
      <c r="B27" s="7" t="s">
        <v>396</v>
      </c>
    </row>
    <row r="28" spans="1:2" ht="21.75" customHeight="1">
      <c r="A28" s="10" t="s">
        <v>412</v>
      </c>
      <c r="B28" s="11">
        <f>SUM(B30:B39)</f>
        <v>2364549.27</v>
      </c>
    </row>
    <row r="29" spans="1:2" ht="21.75" customHeight="1">
      <c r="A29" s="10" t="s">
        <v>413</v>
      </c>
      <c r="B29" s="11">
        <f>SUM(B30:B31)</f>
        <v>1810828.04</v>
      </c>
    </row>
    <row r="30" spans="1:2" ht="21.75" customHeight="1">
      <c r="A30" s="12" t="s">
        <v>414</v>
      </c>
      <c r="B30" s="9">
        <f>1821389.37-21074.28+10512.95</f>
        <v>1810828.04</v>
      </c>
    </row>
    <row r="31" spans="1:2" ht="21.75" customHeight="1">
      <c r="A31" s="12" t="s">
        <v>415</v>
      </c>
      <c r="B31" s="9">
        <v>0</v>
      </c>
    </row>
    <row r="32" spans="1:2" ht="21.75" customHeight="1">
      <c r="A32" s="12" t="s">
        <v>416</v>
      </c>
      <c r="B32" s="9">
        <v>0</v>
      </c>
    </row>
    <row r="33" spans="1:2" ht="21.75" customHeight="1">
      <c r="A33" s="12" t="s">
        <v>417</v>
      </c>
      <c r="B33" s="9">
        <f>215068.49-20969.62</f>
        <v>194098.87</v>
      </c>
    </row>
    <row r="34" spans="1:2" ht="21.75" customHeight="1">
      <c r="A34" s="12" t="s">
        <v>418</v>
      </c>
      <c r="B34" s="9">
        <v>0</v>
      </c>
    </row>
    <row r="35" spans="1:2" ht="21.75" customHeight="1">
      <c r="A35" s="12" t="s">
        <v>419</v>
      </c>
      <c r="B35" s="17">
        <v>0</v>
      </c>
    </row>
    <row r="36" spans="1:2" ht="21.75" customHeight="1">
      <c r="A36" s="12" t="s">
        <v>420</v>
      </c>
      <c r="B36" s="17">
        <f>215902.63-11853.79</f>
        <v>204048.84</v>
      </c>
    </row>
    <row r="37" spans="1:2" ht="21.75" customHeight="1">
      <c r="A37" s="12" t="s">
        <v>421</v>
      </c>
      <c r="B37" s="9">
        <v>143496.78</v>
      </c>
    </row>
    <row r="38" spans="1:2" ht="21.75" customHeight="1">
      <c r="A38" s="12" t="s">
        <v>422</v>
      </c>
      <c r="B38" s="9">
        <f>14113.21-2036.47</f>
        <v>12076.74</v>
      </c>
    </row>
    <row r="39" spans="1:2" ht="21.75" customHeight="1">
      <c r="A39" s="12" t="s">
        <v>423</v>
      </c>
      <c r="B39" s="17">
        <v>0</v>
      </c>
    </row>
    <row r="40" spans="1:2" ht="21.75" customHeight="1">
      <c r="A40" s="10" t="s">
        <v>424</v>
      </c>
      <c r="B40" s="11">
        <f>SUM(B41:B45)</f>
        <v>937687.57</v>
      </c>
    </row>
    <row r="41" spans="1:2" ht="21.75" customHeight="1">
      <c r="A41" s="12" t="s">
        <v>425</v>
      </c>
      <c r="B41" s="9">
        <f>1200.88+60223.55+225017.83-2736.01+21895.12</f>
        <v>305601.37</v>
      </c>
    </row>
    <row r="42" spans="1:2" ht="21.75" customHeight="1">
      <c r="A42" s="12" t="s">
        <v>426</v>
      </c>
      <c r="B42" s="9">
        <f>309645.77-7.52+222685.46-22551.5</f>
        <v>509772.20999999996</v>
      </c>
    </row>
    <row r="43" spans="1:2" ht="21.75" customHeight="1">
      <c r="A43" s="12" t="s">
        <v>427</v>
      </c>
      <c r="B43" s="9">
        <v>22551.5</v>
      </c>
    </row>
    <row r="44" spans="1:2" ht="21.75" customHeight="1">
      <c r="A44" s="12" t="s">
        <v>428</v>
      </c>
      <c r="B44" s="9">
        <v>25269.35</v>
      </c>
    </row>
    <row r="45" spans="1:2" ht="21.75" customHeight="1">
      <c r="A45" s="12" t="s">
        <v>429</v>
      </c>
      <c r="B45" s="9">
        <v>74493.14</v>
      </c>
    </row>
    <row r="46" spans="1:2" ht="21.75" customHeight="1">
      <c r="A46" s="10" t="s">
        <v>430</v>
      </c>
      <c r="B46" s="11">
        <f>SUM(B47:B54)</f>
        <v>756756.19</v>
      </c>
    </row>
    <row r="47" spans="1:2" ht="21.75" customHeight="1">
      <c r="A47" s="12" t="s">
        <v>431</v>
      </c>
      <c r="B47" s="9">
        <f>30682.46-0.07+9288.27</f>
        <v>39970.660000000003</v>
      </c>
    </row>
    <row r="48" spans="1:2" ht="21.75" customHeight="1">
      <c r="A48" s="12" t="s">
        <v>432</v>
      </c>
      <c r="B48" s="9">
        <v>118684.23</v>
      </c>
    </row>
    <row r="49" spans="1:2" ht="21.75" customHeight="1">
      <c r="A49" s="12" t="s">
        <v>433</v>
      </c>
      <c r="B49" s="9">
        <f>28881.27-4.37</f>
        <v>28876.9</v>
      </c>
    </row>
    <row r="50" spans="1:2" ht="21.75" customHeight="1">
      <c r="A50" s="12" t="s">
        <v>434</v>
      </c>
      <c r="B50" s="9">
        <v>375.28</v>
      </c>
    </row>
    <row r="51" spans="1:2" ht="21.75" customHeight="1">
      <c r="A51" s="12" t="s">
        <v>435</v>
      </c>
      <c r="B51" s="9">
        <v>4317.74</v>
      </c>
    </row>
    <row r="52" spans="1:2" ht="21.75" customHeight="1">
      <c r="A52" s="12" t="s">
        <v>436</v>
      </c>
      <c r="B52" s="9">
        <f>504920.39-0.01</f>
        <v>504920.38</v>
      </c>
    </row>
    <row r="53" spans="1:2" ht="21.75" customHeight="1">
      <c r="A53" s="12" t="s">
        <v>437</v>
      </c>
      <c r="B53" s="9">
        <f>59611.02-0.02</f>
        <v>59611</v>
      </c>
    </row>
    <row r="54" spans="1:2" ht="21.75" customHeight="1">
      <c r="A54" s="12" t="s">
        <v>438</v>
      </c>
      <c r="B54" s="9">
        <v>0</v>
      </c>
    </row>
    <row r="55" spans="1:2" ht="21.75" customHeight="1">
      <c r="A55" s="10" t="s">
        <v>439</v>
      </c>
      <c r="B55" s="11">
        <f>SUM(B56:B58)</f>
        <v>12542.99</v>
      </c>
    </row>
    <row r="56" spans="1:2" ht="21.75" customHeight="1">
      <c r="A56" s="12" t="s">
        <v>440</v>
      </c>
      <c r="B56" s="9">
        <v>1221.47</v>
      </c>
    </row>
    <row r="57" spans="1:2" ht="21.75" customHeight="1">
      <c r="A57" s="12" t="s">
        <v>441</v>
      </c>
      <c r="B57" s="9">
        <v>11321.52</v>
      </c>
    </row>
    <row r="58" spans="1:2" ht="21.75" customHeight="1">
      <c r="A58" s="12" t="s">
        <v>442</v>
      </c>
      <c r="B58" s="9">
        <v>0</v>
      </c>
    </row>
    <row r="59" spans="1:2" ht="21.75" customHeight="1">
      <c r="A59" s="10" t="s">
        <v>443</v>
      </c>
      <c r="B59" s="11">
        <f>SUM(B60:B64)</f>
        <v>270137.60000000003</v>
      </c>
    </row>
    <row r="60" spans="1:2" ht="21.75" customHeight="1">
      <c r="A60" s="12" t="s">
        <v>444</v>
      </c>
      <c r="B60" s="9">
        <v>3581.03</v>
      </c>
    </row>
    <row r="61" spans="1:2" ht="21.75" customHeight="1">
      <c r="A61" s="12" t="s">
        <v>445</v>
      </c>
      <c r="B61" s="9">
        <v>8675.1299999999992</v>
      </c>
    </row>
    <row r="62" spans="1:2" ht="21.75" customHeight="1">
      <c r="A62" s="12" t="s">
        <v>446</v>
      </c>
      <c r="B62" s="9">
        <v>83627.08</v>
      </c>
    </row>
    <row r="63" spans="1:2" ht="21.75" customHeight="1">
      <c r="A63" s="12" t="s">
        <v>447</v>
      </c>
      <c r="B63" s="9">
        <f>10146.23+6092.52</f>
        <v>16238.75</v>
      </c>
    </row>
    <row r="64" spans="1:2" ht="21.75" customHeight="1">
      <c r="A64" s="12" t="s">
        <v>448</v>
      </c>
      <c r="B64" s="9">
        <f>125868.17-1.89+26840.28+1774.85+729+1150+1655.2</f>
        <v>158015.61000000002</v>
      </c>
    </row>
    <row r="65" spans="1:2" ht="21.75" customHeight="1">
      <c r="A65" s="10" t="s">
        <v>449</v>
      </c>
      <c r="B65" s="11">
        <f>B66+B71+B75</f>
        <v>2548056.1199999996</v>
      </c>
    </row>
    <row r="66" spans="1:2" ht="21.75" customHeight="1">
      <c r="A66" s="10" t="s">
        <v>450</v>
      </c>
      <c r="B66" s="11">
        <f>SUM(B67:B70)</f>
        <v>2223337.9999999995</v>
      </c>
    </row>
    <row r="67" spans="1:2" ht="21.75" customHeight="1">
      <c r="A67" s="12" t="s">
        <v>451</v>
      </c>
      <c r="B67" s="9">
        <f>1846981.92+358209.3+18146.78</f>
        <v>2223337.9999999995</v>
      </c>
    </row>
    <row r="68" spans="1:2" ht="21.75" customHeight="1">
      <c r="A68" s="12" t="s">
        <v>452</v>
      </c>
      <c r="B68" s="9">
        <v>0</v>
      </c>
    </row>
    <row r="69" spans="1:2" ht="21.75" customHeight="1">
      <c r="A69" s="12" t="s">
        <v>453</v>
      </c>
      <c r="B69" s="9">
        <v>0</v>
      </c>
    </row>
    <row r="70" spans="1:2" ht="21.75" customHeight="1">
      <c r="A70" s="12" t="s">
        <v>454</v>
      </c>
      <c r="B70" s="9">
        <v>0</v>
      </c>
    </row>
    <row r="71" spans="1:2" ht="21.75" customHeight="1">
      <c r="A71" s="10" t="s">
        <v>455</v>
      </c>
      <c r="B71" s="11">
        <f>SUM(B72:B74)</f>
        <v>228210.98</v>
      </c>
    </row>
    <row r="72" spans="1:2" ht="21.75" customHeight="1">
      <c r="A72" s="12" t="s">
        <v>456</v>
      </c>
      <c r="B72" s="9">
        <f>61568.35+140353.43+26289.2</f>
        <v>228210.98</v>
      </c>
    </row>
    <row r="73" spans="1:2" ht="21.75" customHeight="1">
      <c r="A73" s="12" t="s">
        <v>457</v>
      </c>
      <c r="B73" s="9">
        <v>0</v>
      </c>
    </row>
    <row r="74" spans="1:2" ht="21.75" customHeight="1">
      <c r="A74" s="12" t="s">
        <v>458</v>
      </c>
      <c r="B74" s="9">
        <v>0</v>
      </c>
    </row>
    <row r="75" spans="1:2" ht="21.75" customHeight="1">
      <c r="A75" s="10" t="s">
        <v>459</v>
      </c>
      <c r="B75" s="11">
        <f>SUM(B76:B77)</f>
        <v>96507.14</v>
      </c>
    </row>
    <row r="76" spans="1:2" ht="21.75" customHeight="1">
      <c r="A76" s="12" t="s">
        <v>460</v>
      </c>
      <c r="B76" s="9">
        <v>96507.14</v>
      </c>
    </row>
    <row r="77" spans="1:2" ht="21.75" customHeight="1">
      <c r="A77" s="12" t="s">
        <v>461</v>
      </c>
      <c r="B77" s="9"/>
    </row>
    <row r="78" spans="1:2" ht="21.75" customHeight="1">
      <c r="A78" s="13" t="s">
        <v>462</v>
      </c>
      <c r="B78" s="14">
        <f>B28+B40+B46+B55+B59+B65</f>
        <v>6889729.7400000002</v>
      </c>
    </row>
    <row r="79" spans="1:2" ht="21.75" customHeight="1">
      <c r="A79" s="6" t="s">
        <v>463</v>
      </c>
      <c r="B79" s="18">
        <f>B24-B78</f>
        <v>-1000680.0599999996</v>
      </c>
    </row>
    <row r="80" spans="1:2" ht="21.75" customHeight="1">
      <c r="A80" s="15"/>
      <c r="B80" s="16"/>
    </row>
    <row r="81" spans="1:2" ht="21.75" customHeight="1">
      <c r="A81" s="19" t="s">
        <v>464</v>
      </c>
      <c r="B81" s="20">
        <f>SUM(B82:B85)</f>
        <v>207159.81</v>
      </c>
    </row>
    <row r="82" spans="1:2" ht="21.75" customHeight="1">
      <c r="A82" s="21" t="s">
        <v>465</v>
      </c>
      <c r="B82" s="9">
        <v>199450</v>
      </c>
    </row>
    <row r="83" spans="1:2" ht="21.75" customHeight="1">
      <c r="A83" s="21" t="s">
        <v>466</v>
      </c>
      <c r="B83" s="9">
        <v>7709.81</v>
      </c>
    </row>
    <row r="84" spans="1:2" ht="21.75" customHeight="1">
      <c r="A84" s="21" t="s">
        <v>467</v>
      </c>
      <c r="B84" s="9">
        <v>0</v>
      </c>
    </row>
    <row r="85" spans="1:2" ht="21.75" customHeight="1">
      <c r="A85" s="21" t="s">
        <v>468</v>
      </c>
      <c r="B85" s="9">
        <v>0</v>
      </c>
    </row>
    <row r="86" spans="1:2" ht="21.75" customHeight="1">
      <c r="A86" s="15"/>
      <c r="B86" s="16"/>
    </row>
    <row r="87" spans="1:2" ht="21.75" customHeight="1">
      <c r="B87" s="22"/>
    </row>
    <row r="88" spans="1:2" ht="21.75" customHeight="1">
      <c r="A88" s="23" t="s">
        <v>469</v>
      </c>
      <c r="B88" s="24"/>
    </row>
    <row r="89" spans="1:2" ht="21.75" customHeight="1">
      <c r="A89" s="25" t="s">
        <v>394</v>
      </c>
      <c r="B89" s="26">
        <f>A7</f>
        <v>46113</v>
      </c>
    </row>
    <row r="90" spans="1:2" ht="21.75" customHeight="1">
      <c r="A90" s="27" t="s">
        <v>470</v>
      </c>
      <c r="B90" s="28">
        <v>0</v>
      </c>
    </row>
    <row r="91" spans="1:2" ht="21.75" customHeight="1">
      <c r="A91" s="21" t="s">
        <v>471</v>
      </c>
      <c r="B91" s="9">
        <v>0</v>
      </c>
    </row>
    <row r="92" spans="1:2" ht="21.75" customHeight="1">
      <c r="A92" s="21" t="s">
        <v>472</v>
      </c>
      <c r="B92" s="9">
        <v>0</v>
      </c>
    </row>
    <row r="93" spans="1:2" ht="21.75" customHeight="1">
      <c r="A93" s="29" t="s">
        <v>473</v>
      </c>
      <c r="B93" s="18">
        <f>B90-B91+B92</f>
        <v>0</v>
      </c>
    </row>
    <row r="94" spans="1:2" ht="21.75" customHeight="1">
      <c r="A94" s="30"/>
      <c r="B94" s="22"/>
    </row>
    <row r="95" spans="1:2" ht="21.75" customHeight="1">
      <c r="A95" s="23" t="s">
        <v>474</v>
      </c>
      <c r="B95" s="24"/>
    </row>
    <row r="96" spans="1:2" ht="21.75" customHeight="1">
      <c r="A96" s="25" t="s">
        <v>394</v>
      </c>
      <c r="B96" s="26">
        <f>B9</f>
        <v>46113</v>
      </c>
    </row>
    <row r="97" spans="1:2" ht="21.75" customHeight="1">
      <c r="A97" s="27" t="s">
        <v>470</v>
      </c>
      <c r="B97" s="31">
        <v>0</v>
      </c>
    </row>
    <row r="98" spans="1:2" ht="21.75" customHeight="1">
      <c r="A98" s="21" t="s">
        <v>471</v>
      </c>
      <c r="B98" s="9">
        <v>11564997.25</v>
      </c>
    </row>
    <row r="99" spans="1:2" ht="21.75" customHeight="1">
      <c r="A99" s="21" t="s">
        <v>472</v>
      </c>
      <c r="B99" s="9">
        <v>11564997.25</v>
      </c>
    </row>
    <row r="100" spans="1:2" ht="21.75" customHeight="1">
      <c r="A100" s="21" t="s">
        <v>475</v>
      </c>
      <c r="B100" s="9">
        <v>0</v>
      </c>
    </row>
    <row r="101" spans="1:2" ht="21.75" customHeight="1">
      <c r="A101" s="21" t="s">
        <v>476</v>
      </c>
      <c r="B101" s="9">
        <v>0</v>
      </c>
    </row>
    <row r="102" spans="1:2" ht="21.75" customHeight="1">
      <c r="A102" s="32" t="s">
        <v>477</v>
      </c>
      <c r="B102" s="18">
        <f>B97-B98+B99-B100+B101</f>
        <v>0</v>
      </c>
    </row>
    <row r="103" spans="1:2" ht="21.75" customHeight="1">
      <c r="A103" s="30"/>
      <c r="B103" s="22"/>
    </row>
    <row r="104" spans="1:2" ht="21.75" customHeight="1">
      <c r="A104" s="23" t="s">
        <v>478</v>
      </c>
      <c r="B104" s="24"/>
    </row>
    <row r="105" spans="1:2" ht="21.75" customHeight="1">
      <c r="A105" s="25" t="s">
        <v>394</v>
      </c>
      <c r="B105" s="26">
        <f>A7</f>
        <v>46113</v>
      </c>
    </row>
    <row r="106" spans="1:2" ht="21.75" customHeight="1">
      <c r="A106" s="27" t="s">
        <v>470</v>
      </c>
      <c r="B106" s="31">
        <v>21945049.43</v>
      </c>
    </row>
    <row r="107" spans="1:2" ht="21.75" customHeight="1">
      <c r="A107" s="21" t="s">
        <v>471</v>
      </c>
      <c r="B107" s="9">
        <f>6005974.5+244424.56</f>
        <v>6250399.0599999996</v>
      </c>
    </row>
    <row r="108" spans="1:2" ht="21.75" customHeight="1">
      <c r="A108" s="21" t="s">
        <v>472</v>
      </c>
      <c r="B108" s="9">
        <f>5731273.5+16453.29-B109</f>
        <v>5581499.21</v>
      </c>
    </row>
    <row r="109" spans="1:2" ht="21.75" customHeight="1">
      <c r="A109" s="21" t="s">
        <v>479</v>
      </c>
      <c r="B109" s="9">
        <v>166227.57999999999</v>
      </c>
    </row>
    <row r="110" spans="1:2" ht="21.75" customHeight="1">
      <c r="A110" s="32" t="s">
        <v>480</v>
      </c>
      <c r="B110" s="18">
        <f>B106-B107+B108+B109</f>
        <v>21442377.16</v>
      </c>
    </row>
    <row r="111" spans="1:2" ht="21.75" customHeight="1">
      <c r="A111" s="30"/>
      <c r="B111" s="22"/>
    </row>
    <row r="112" spans="1:2" ht="21.75" customHeight="1">
      <c r="A112" s="29" t="s">
        <v>481</v>
      </c>
      <c r="B112" s="33">
        <f>B110+B102+B93</f>
        <v>21442377.16</v>
      </c>
    </row>
    <row r="113" spans="1:2" ht="21.75" customHeight="1">
      <c r="A113" s="30"/>
      <c r="B113" s="22"/>
    </row>
    <row r="114" spans="1:2" ht="21.75" customHeight="1">
      <c r="A114" s="23" t="s">
        <v>482</v>
      </c>
      <c r="B114" s="24"/>
    </row>
    <row r="115" spans="1:2" ht="21.75" customHeight="1">
      <c r="A115" s="25" t="s">
        <v>394</v>
      </c>
      <c r="B115" s="26">
        <f>B9</f>
        <v>46113</v>
      </c>
    </row>
    <row r="116" spans="1:2" ht="21.75" customHeight="1">
      <c r="A116" s="34" t="s">
        <v>483</v>
      </c>
      <c r="B116" s="9">
        <v>0</v>
      </c>
    </row>
    <row r="117" spans="1:2" ht="21.75" customHeight="1">
      <c r="A117" s="34" t="s">
        <v>484</v>
      </c>
      <c r="B117" s="9">
        <v>0</v>
      </c>
    </row>
    <row r="118" spans="1:2" ht="21.75" customHeight="1">
      <c r="A118" s="34" t="s">
        <v>485</v>
      </c>
      <c r="B118" s="9">
        <f>3817801.21+1536550.91+927599.94+201068.06</f>
        <v>6483020.1200000001</v>
      </c>
    </row>
    <row r="119" spans="1:2" ht="32.25" customHeight="1">
      <c r="A119" s="34" t="s">
        <v>486</v>
      </c>
      <c r="B119" s="9">
        <v>0</v>
      </c>
    </row>
    <row r="120" spans="1:2" ht="21.75" customHeight="1">
      <c r="A120" s="29" t="s">
        <v>39</v>
      </c>
      <c r="B120" s="18">
        <f>SUM(B116:B119)</f>
        <v>6483020.1200000001</v>
      </c>
    </row>
    <row r="121" spans="1:2" ht="21.75" customHeight="1">
      <c r="A121" s="30"/>
      <c r="B121" s="22"/>
    </row>
    <row r="122" spans="1:2" ht="21.75" customHeight="1">
      <c r="A122" s="23" t="s">
        <v>487</v>
      </c>
      <c r="B122" s="24"/>
    </row>
    <row r="123" spans="1:2" ht="21.75" customHeight="1">
      <c r="A123" s="25" t="s">
        <v>394</v>
      </c>
      <c r="B123" s="35">
        <f>B9</f>
        <v>46113</v>
      </c>
    </row>
    <row r="124" spans="1:2" ht="21.75" customHeight="1">
      <c r="A124" s="27" t="s">
        <v>470</v>
      </c>
      <c r="B124" s="31">
        <v>11211281.789999999</v>
      </c>
    </row>
    <row r="125" spans="1:2" ht="21.75" customHeight="1">
      <c r="A125" s="27" t="s">
        <v>488</v>
      </c>
      <c r="B125" s="31">
        <f>SUM(B36:B38)</f>
        <v>359622.36</v>
      </c>
    </row>
    <row r="126" spans="1:2" ht="21.75" customHeight="1">
      <c r="A126" s="21" t="s">
        <v>489</v>
      </c>
      <c r="B126" s="9">
        <f>-204722.48+205719.46</f>
        <v>996.97999999998137</v>
      </c>
    </row>
    <row r="127" spans="1:2" ht="21.75" customHeight="1">
      <c r="A127" s="21" t="s">
        <v>490</v>
      </c>
      <c r="B127" s="9">
        <f>-23175.11+143496.78</f>
        <v>120321.67</v>
      </c>
    </row>
    <row r="128" spans="1:2" ht="21.75" customHeight="1">
      <c r="A128" s="21" t="s">
        <v>491</v>
      </c>
      <c r="B128" s="9">
        <f>17989.11-13308.81</f>
        <v>4680.3000000000011</v>
      </c>
    </row>
    <row r="129" spans="1:2" ht="21.75" customHeight="1">
      <c r="A129" s="29" t="s">
        <v>492</v>
      </c>
      <c r="B129" s="18">
        <f>B124+B125-B126-B127-B128</f>
        <v>11444905.199999997</v>
      </c>
    </row>
  </sheetData>
  <mergeCells count="5">
    <mergeCell ref="A1:B1"/>
    <mergeCell ref="A3:B3"/>
    <mergeCell ref="A4:B4"/>
    <mergeCell ref="A6:B6"/>
    <mergeCell ref="A7:B7"/>
  </mergeCells>
  <conditionalFormatting sqref="B79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paperSize="9" scale="90" fitToHeight="0" orientation="portrait" r:id="rId1"/>
  <rowBreaks count="4" manualBreakCount="4">
    <brk id="39" max="1" man="1"/>
    <brk id="74" max="16383" man="1"/>
    <brk id="80" max="16383" man="1"/>
    <brk id="103" max="16383" man="1"/>
  </rowBreaks>
  <ignoredErrors>
    <ignoredError sqref="B125:B128 B118:B124 B96:B97 B105:B109 B115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2026-05-12T11:04:46Z</cp:lastPrinted>
  <dcterms:created xsi:type="dcterms:W3CDTF">2011-05-06T11:59:00Z</dcterms:created>
  <dcterms:modified xsi:type="dcterms:W3CDTF">2026-05-26T19:55:20Z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